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66925"/>
  <xr:revisionPtr revIDLastSave="0" documentId="8_{B7C64B84-602E-49F1-936B-7CEB09145ADB}" xr6:coauthVersionLast="47" xr6:coauthVersionMax="47" xr10:uidLastSave="{00000000-0000-0000-0000-000000000000}"/>
  <bookViews>
    <workbookView xWindow="25035" yWindow="1305" windowWidth="20820" windowHeight="18915" xr2:uid="{241611B3-003E-4DC3-8B37-A4E6B45968F6}"/>
  </bookViews>
  <sheets>
    <sheet name="readme" sheetId="27" r:id="rId1"/>
    <sheet name="Tunneldaten" sheetId="1" r:id="rId2"/>
    <sheet name="Betriebsdaten" sheetId="5" r:id="rId3"/>
    <sheet name="Ergebnisse" sheetId="25" r:id="rId4"/>
    <sheet name="Ergebnisvergleich" sheetId="30" r:id="rId5"/>
    <sheet name="HilfstabelleDiskontierung" sheetId="31" state="hidden" r:id="rId6"/>
    <sheet name="Listen" sheetId="2" state="hidden" r:id="rId7"/>
    <sheet name="Parameter" sheetId="14" r:id="rId8"/>
    <sheet name="Bau-Geometrie" sheetId="16" r:id="rId9"/>
    <sheet name="Baukosten" sheetId="9" r:id="rId10"/>
    <sheet name="Baukosten-MUF" sheetId="22" r:id="rId11"/>
    <sheet name="Baukosten-MUL" sheetId="19" r:id="rId12"/>
    <sheet name="Baukosten-SM" sheetId="21" r:id="rId13"/>
    <sheet name="Baukosten-SPV" sheetId="20" r:id="rId14"/>
    <sheet name="Baukosten-TBM" sheetId="23" r:id="rId15"/>
    <sheet name="Traktionsenergie" sheetId="24" r:id="rId16"/>
    <sheet name="Energie" sheetId="15" r:id="rId17"/>
    <sheet name="Energie-Baustoffe" sheetId="26" r:id="rId18"/>
    <sheet name="Energie-Bauprozesse" sheetId="7" r:id="rId19"/>
    <sheet name="Energie-Transport" sheetId="28" r:id="rId20"/>
    <sheet name="Transport" sheetId="6" r:id="rId21"/>
  </sheets>
  <definedNames>
    <definedName name="_b">Parameter!$C$149</definedName>
    <definedName name="_bFBP" localSheetId="5">Parameter!$C$147</definedName>
    <definedName name="_bFBP">Parameter!$C$147</definedName>
    <definedName name="_bLRP" localSheetId="5">Parameter!$C$144</definedName>
    <definedName name="_bLRP">Parameter!$C$144</definedName>
    <definedName name="_hBankett" localSheetId="5">Parameter!$C$145</definedName>
    <definedName name="_hBankett">Parameter!$C$145</definedName>
    <definedName name="_hEntwässerung" localSheetId="5">Parameter!$C$148</definedName>
    <definedName name="_hEntwässerung">Parameter!$C$148</definedName>
    <definedName name="_hFBP" localSheetId="5">Parameter!$C$146</definedName>
    <definedName name="_hFBP">Parameter!$C$146</definedName>
    <definedName name="_hLRP" localSheetId="5">Parameter!$C$143</definedName>
    <definedName name="_hLRP">Parameter!$C$143</definedName>
    <definedName name="AnzahlRöhren" localSheetId="5">Tunneldaten!$E$3</definedName>
    <definedName name="AnzahlRöhren">Tunneldaten!$E$3</definedName>
    <definedName name="BahnstrompreisZunahmeJahr">Parameter!$C$198</definedName>
    <definedName name="BetonZuschlagstoffe" localSheetId="5">Parameter!$C$42</definedName>
    <definedName name="BetonZuschlagstoffe">Parameter!$C$42</definedName>
    <definedName name="Betriebsjahre" localSheetId="5">Tunneldaten!$E$5</definedName>
    <definedName name="Betriebsjahre">Tunneldaten!$E$5</definedName>
    <definedName name="Betriebsjahre_Default" localSheetId="5">Parameter!$C$4</definedName>
    <definedName name="Betriebsjahre_Default">Parameter!$C$4</definedName>
    <definedName name="Diskontrate">Parameter!$C$202</definedName>
    <definedName name="DS_RInnen" localSheetId="5">'Bau-Geometrie'!$E$51</definedName>
    <definedName name="DS_RInnen">'Bau-Geometrie'!$E$51</definedName>
    <definedName name="Erdbeschleunigung">9.81</definedName>
    <definedName name="ES_RInnen" localSheetId="5">'Bau-Geometrie'!$C$51</definedName>
    <definedName name="ES_RInnen">'Bau-Geometrie'!$C$51</definedName>
    <definedName name="Fae" localSheetId="5">'Bau-Geometrie'!$I$66</definedName>
    <definedName name="Fae">'Bau-Geometrie'!$I$66</definedName>
    <definedName name="Gleisabstand" localSheetId="5">'Bau-Geometrie'!$E$52</definedName>
    <definedName name="Gleisabstand">'Bau-Geometrie'!$E$52</definedName>
    <definedName name="Innendurchmesser" localSheetId="5">Tunneldaten!$E$6</definedName>
    <definedName name="Innendurchmesser">Tunneldaten!$E$6</definedName>
    <definedName name="Luftdichte">1.172</definedName>
    <definedName name="THIS_CELL">!A1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0" i="14" l="1"/>
  <c r="E110" i="14" s="1"/>
  <c r="C110" i="14"/>
  <c r="C5" i="25"/>
  <c r="D119" i="14"/>
  <c r="C119" i="14"/>
  <c r="D113" i="14"/>
  <c r="D120" i="14"/>
  <c r="C120" i="14"/>
  <c r="E115" i="14"/>
  <c r="K28" i="1" l="1"/>
  <c r="F5" i="1"/>
  <c r="I74" i="1"/>
  <c r="I71" i="1"/>
  <c r="I68" i="1"/>
  <c r="I49" i="1"/>
  <c r="I46" i="1"/>
  <c r="I43" i="1"/>
  <c r="I40" i="1"/>
  <c r="I37" i="1"/>
  <c r="E51" i="16" l="1"/>
  <c r="C56" i="16"/>
  <c r="K13" i="5"/>
  <c r="K10" i="5"/>
  <c r="C51" i="16" l="1"/>
  <c r="C57" i="16" l="1"/>
  <c r="C60" i="16"/>
  <c r="CE19" i="24"/>
  <c r="AQ19" i="24"/>
  <c r="AG19" i="24"/>
  <c r="E81" i="21" l="1"/>
  <c r="E80" i="21"/>
  <c r="E79" i="21"/>
  <c r="E78" i="21"/>
  <c r="E77" i="21"/>
  <c r="E76" i="21"/>
  <c r="E75" i="21"/>
  <c r="E74" i="21"/>
  <c r="E73" i="21"/>
  <c r="E72" i="21"/>
  <c r="E78" i="19"/>
  <c r="E77" i="19"/>
  <c r="E76" i="19"/>
  <c r="E75" i="19"/>
  <c r="E74" i="19"/>
  <c r="E73" i="19"/>
  <c r="E72" i="19"/>
  <c r="E71" i="19"/>
  <c r="E70" i="19"/>
  <c r="E69" i="19"/>
  <c r="E87" i="22"/>
  <c r="E86" i="22"/>
  <c r="E85" i="22"/>
  <c r="E84" i="22"/>
  <c r="E83" i="22"/>
  <c r="E82" i="22"/>
  <c r="E81" i="22"/>
  <c r="E80" i="22"/>
  <c r="E79" i="22"/>
  <c r="E78" i="22"/>
  <c r="E95" i="20"/>
  <c r="E94" i="20"/>
  <c r="E93" i="20"/>
  <c r="E92" i="20"/>
  <c r="E91" i="20"/>
  <c r="E90" i="20"/>
  <c r="E89" i="20"/>
  <c r="E88" i="20"/>
  <c r="E87" i="20"/>
  <c r="E86" i="20"/>
  <c r="E95" i="23"/>
  <c r="E94" i="23"/>
  <c r="E93" i="23"/>
  <c r="E92" i="23"/>
  <c r="E91" i="23"/>
  <c r="E90" i="23"/>
  <c r="E89" i="23"/>
  <c r="E88" i="23"/>
  <c r="E87" i="23"/>
  <c r="E86" i="23"/>
  <c r="E85" i="23"/>
  <c r="E85" i="20"/>
  <c r="E77" i="22"/>
  <c r="E71" i="21"/>
  <c r="E68" i="19"/>
  <c r="E67" i="19"/>
  <c r="E76" i="22"/>
  <c r="E75" i="22"/>
  <c r="E79" i="20"/>
  <c r="E78" i="20"/>
  <c r="E79" i="23"/>
  <c r="E78" i="23"/>
  <c r="E72" i="20"/>
  <c r="E71" i="20"/>
  <c r="E70" i="20"/>
  <c r="E69" i="20"/>
  <c r="E77" i="23"/>
  <c r="E76" i="23"/>
  <c r="E75" i="23"/>
  <c r="E74" i="23"/>
  <c r="E73" i="23"/>
  <c r="E72" i="23"/>
  <c r="E71" i="23"/>
  <c r="E70" i="23"/>
  <c r="E69" i="23"/>
  <c r="E74" i="22"/>
  <c r="E73" i="22"/>
  <c r="E72" i="22"/>
  <c r="E71" i="22"/>
  <c r="E70" i="22"/>
  <c r="E77" i="20"/>
  <c r="E76" i="20"/>
  <c r="E75" i="20"/>
  <c r="E74" i="20"/>
  <c r="E73" i="20"/>
  <c r="E52" i="16"/>
  <c r="C38" i="14" l="1"/>
  <c r="B204" i="31"/>
  <c r="B203" i="31"/>
  <c r="B202" i="31"/>
  <c r="B201" i="31"/>
  <c r="B200" i="31"/>
  <c r="B199" i="31"/>
  <c r="B198" i="31"/>
  <c r="B197" i="31"/>
  <c r="B196" i="31"/>
  <c r="B195" i="31"/>
  <c r="B194" i="31"/>
  <c r="B193" i="31"/>
  <c r="B192" i="31"/>
  <c r="B191" i="31"/>
  <c r="B190" i="31"/>
  <c r="B189" i="31"/>
  <c r="B188" i="31"/>
  <c r="B187" i="31"/>
  <c r="B186" i="31"/>
  <c r="B185" i="31"/>
  <c r="B184" i="31"/>
  <c r="B183" i="31"/>
  <c r="B182" i="31"/>
  <c r="B181" i="31"/>
  <c r="B180" i="31"/>
  <c r="B179" i="31"/>
  <c r="B178" i="31"/>
  <c r="B177" i="31"/>
  <c r="B176" i="31"/>
  <c r="B175" i="31"/>
  <c r="B174" i="31"/>
  <c r="B173" i="31"/>
  <c r="B172" i="31"/>
  <c r="B171" i="31"/>
  <c r="B170" i="31"/>
  <c r="B169" i="31"/>
  <c r="B168" i="31"/>
  <c r="B167" i="31"/>
  <c r="B166" i="31"/>
  <c r="B165" i="31"/>
  <c r="B164" i="31"/>
  <c r="B163" i="31"/>
  <c r="B162" i="31"/>
  <c r="B161" i="31"/>
  <c r="B160" i="31"/>
  <c r="B159" i="31"/>
  <c r="B158" i="31"/>
  <c r="B157" i="31"/>
  <c r="B156" i="31"/>
  <c r="B155" i="31"/>
  <c r="B154" i="31"/>
  <c r="B153" i="31"/>
  <c r="B152" i="31"/>
  <c r="B151" i="31"/>
  <c r="B150" i="31"/>
  <c r="B149" i="31"/>
  <c r="B148" i="31"/>
  <c r="B147" i="31"/>
  <c r="B146" i="31"/>
  <c r="B145" i="31"/>
  <c r="B144" i="31"/>
  <c r="B143" i="31"/>
  <c r="B142" i="31"/>
  <c r="B141" i="31"/>
  <c r="B140" i="31"/>
  <c r="B139" i="31"/>
  <c r="B138" i="31"/>
  <c r="B137" i="31"/>
  <c r="B136" i="31"/>
  <c r="B135" i="31"/>
  <c r="B134" i="31"/>
  <c r="B133" i="31"/>
  <c r="B132" i="31"/>
  <c r="B131" i="31"/>
  <c r="B130" i="31"/>
  <c r="B129" i="31"/>
  <c r="B128" i="31"/>
  <c r="B127" i="31"/>
  <c r="B126" i="31"/>
  <c r="B125" i="31"/>
  <c r="B124" i="31"/>
  <c r="B123" i="31"/>
  <c r="B122" i="31"/>
  <c r="B121" i="31"/>
  <c r="B120" i="31"/>
  <c r="B119" i="31"/>
  <c r="B118" i="31"/>
  <c r="B117" i="31"/>
  <c r="B116" i="31"/>
  <c r="B115" i="31"/>
  <c r="B114" i="31"/>
  <c r="B113" i="31"/>
  <c r="B112" i="31"/>
  <c r="B111" i="31"/>
  <c r="B110" i="31"/>
  <c r="B109" i="31"/>
  <c r="B108" i="31"/>
  <c r="B107" i="31"/>
  <c r="B106" i="31"/>
  <c r="B105" i="31"/>
  <c r="B104" i="31"/>
  <c r="B103" i="31"/>
  <c r="B102" i="31"/>
  <c r="B101" i="31"/>
  <c r="B100" i="31"/>
  <c r="B99" i="31"/>
  <c r="B98" i="31"/>
  <c r="B97" i="31"/>
  <c r="B96" i="31"/>
  <c r="B95" i="31"/>
  <c r="B94" i="31"/>
  <c r="B93" i="31"/>
  <c r="B92" i="31"/>
  <c r="B91" i="31"/>
  <c r="B90" i="31"/>
  <c r="B89" i="31"/>
  <c r="B88" i="31"/>
  <c r="B87" i="31"/>
  <c r="B86" i="31"/>
  <c r="B85" i="31"/>
  <c r="B84" i="31"/>
  <c r="B83" i="31"/>
  <c r="B82" i="31"/>
  <c r="B81" i="31"/>
  <c r="B80" i="31"/>
  <c r="B79" i="31"/>
  <c r="B78" i="31"/>
  <c r="B77" i="31"/>
  <c r="B76" i="31"/>
  <c r="B75" i="31"/>
  <c r="B74" i="31"/>
  <c r="B73" i="31"/>
  <c r="B72" i="31"/>
  <c r="B71" i="31"/>
  <c r="B70" i="31"/>
  <c r="B69" i="31"/>
  <c r="B68" i="31"/>
  <c r="B67" i="31"/>
  <c r="B66" i="31"/>
  <c r="B65" i="31"/>
  <c r="B64" i="31"/>
  <c r="B63" i="31"/>
  <c r="B62" i="31"/>
  <c r="B61" i="31"/>
  <c r="B60" i="31"/>
  <c r="B59" i="31"/>
  <c r="B58" i="31"/>
  <c r="B57" i="31"/>
  <c r="B56" i="31"/>
  <c r="B55" i="31"/>
  <c r="B54" i="31"/>
  <c r="B53" i="31"/>
  <c r="B52" i="31"/>
  <c r="B51" i="31"/>
  <c r="B50" i="31"/>
  <c r="B49" i="31"/>
  <c r="B48" i="31"/>
  <c r="B47" i="31"/>
  <c r="B46" i="31"/>
  <c r="B45" i="31"/>
  <c r="B44" i="31"/>
  <c r="B43" i="31"/>
  <c r="B42" i="31"/>
  <c r="B41" i="31"/>
  <c r="B40" i="31"/>
  <c r="B39" i="31"/>
  <c r="B38" i="31"/>
  <c r="B37" i="31"/>
  <c r="B36" i="31"/>
  <c r="B35" i="31"/>
  <c r="B34" i="31"/>
  <c r="B33" i="31"/>
  <c r="B32" i="31"/>
  <c r="B31" i="31"/>
  <c r="B30" i="31"/>
  <c r="B29" i="31"/>
  <c r="B28" i="31"/>
  <c r="B27" i="31"/>
  <c r="B26" i="31"/>
  <c r="B25" i="31"/>
  <c r="B24" i="31"/>
  <c r="B23" i="31"/>
  <c r="B22" i="31"/>
  <c r="B21" i="31"/>
  <c r="B20" i="31"/>
  <c r="B19" i="31"/>
  <c r="B18" i="31"/>
  <c r="B17" i="31"/>
  <c r="B16" i="31"/>
  <c r="B15" i="31"/>
  <c r="B14" i="31"/>
  <c r="B13" i="31"/>
  <c r="B12" i="31"/>
  <c r="B11" i="31"/>
  <c r="B10" i="31"/>
  <c r="B9" i="31"/>
  <c r="B8" i="31"/>
  <c r="B7" i="31"/>
  <c r="B6" i="31"/>
  <c r="B5" i="31"/>
  <c r="E119" i="14" l="1"/>
  <c r="E118" i="14"/>
  <c r="C83" i="14"/>
  <c r="C82" i="14"/>
  <c r="C70" i="14"/>
  <c r="C71" i="14"/>
  <c r="C58" i="14" l="1"/>
  <c r="C59" i="14"/>
  <c r="C79" i="14"/>
  <c r="C78" i="14"/>
  <c r="C76" i="14"/>
  <c r="C75" i="14"/>
  <c r="C74" i="14"/>
  <c r="C73" i="14"/>
  <c r="C63" i="14"/>
  <c r="H72" i="23"/>
  <c r="C37" i="14"/>
  <c r="H71" i="20" s="1"/>
  <c r="E64" i="1"/>
  <c r="H72" i="20" l="1"/>
  <c r="H71" i="23"/>
  <c r="C4" i="25"/>
  <c r="D6" i="7"/>
  <c r="C67" i="16" l="1"/>
  <c r="C65" i="16"/>
  <c r="E61" i="16"/>
  <c r="E62" i="16" s="1"/>
  <c r="E63" i="16" s="1"/>
  <c r="E64" i="16" s="1"/>
  <c r="E30" i="1"/>
  <c r="C9" i="7" a="1"/>
  <c r="E13" i="7" l="1" a="1"/>
  <c r="E13" i="7" s="1"/>
  <c r="G10" i="7" a="1"/>
  <c r="G10" i="7" s="1"/>
  <c r="F13" i="7" a="1"/>
  <c r="F13" i="7" s="1"/>
  <c r="G13" i="7" a="1"/>
  <c r="G13" i="7" s="1"/>
  <c r="H10" i="7" a="1"/>
  <c r="H10" i="7" s="1"/>
  <c r="H13" i="7" a="1"/>
  <c r="H13" i="7" s="1"/>
  <c r="E10" i="7" a="1"/>
  <c r="E10" i="7" s="1"/>
  <c r="F10" i="7" a="1"/>
  <c r="F10" i="7" s="1"/>
  <c r="D10" i="7" a="1"/>
  <c r="D10" i="7" s="1"/>
  <c r="D13" i="7" a="1"/>
  <c r="D13" i="7" s="1"/>
  <c r="C9" i="7"/>
  <c r="C58" i="16"/>
  <c r="C69" i="16"/>
  <c r="C70" i="16" s="1"/>
  <c r="C71" i="16" s="1"/>
  <c r="C53" i="16"/>
  <c r="C54" i="16" s="1"/>
  <c r="C55" i="16" s="1"/>
  <c r="E60" i="16"/>
  <c r="E69" i="16"/>
  <c r="E70" i="16" s="1"/>
  <c r="E71" i="16" s="1"/>
  <c r="C61" i="16"/>
  <c r="C62" i="16" s="1"/>
  <c r="C63" i="16" s="1"/>
  <c r="C64" i="16" s="1"/>
  <c r="C10" i="7" l="1" a="1"/>
  <c r="C10" i="7" s="1"/>
  <c r="C13" i="7" a="1"/>
  <c r="C13" i="7" s="1"/>
  <c r="H67" i="1"/>
  <c r="G67" i="1"/>
  <c r="F67" i="1"/>
  <c r="H56" i="1"/>
  <c r="H64" i="1" s="1"/>
  <c r="G56" i="1"/>
  <c r="G64" i="1" s="1"/>
  <c r="F56" i="1"/>
  <c r="F64" i="1" s="1"/>
  <c r="H35" i="1"/>
  <c r="G35" i="1"/>
  <c r="F35" i="1"/>
  <c r="I64" i="1" l="1"/>
  <c r="D8" i="2"/>
  <c r="BW5" i="24"/>
  <c r="BW19" i="24" s="1"/>
  <c r="BX5" i="24"/>
  <c r="BX19" i="24" s="1"/>
  <c r="BY5" i="24"/>
  <c r="BY19" i="24" s="1"/>
  <c r="BZ5" i="24"/>
  <c r="BZ19" i="24" s="1"/>
  <c r="CA5" i="24"/>
  <c r="CA19" i="24" s="1"/>
  <c r="CB5" i="24"/>
  <c r="CB19" i="24" s="1"/>
  <c r="CC5" i="24"/>
  <c r="CC19" i="24" s="1"/>
  <c r="CD5" i="24"/>
  <c r="CD19" i="24" s="1"/>
  <c r="CE5" i="24"/>
  <c r="BV5" i="24"/>
  <c r="BV19" i="24" s="1"/>
  <c r="BM5" i="24"/>
  <c r="BN5" i="24"/>
  <c r="BO5" i="24"/>
  <c r="BP5" i="24"/>
  <c r="BQ5" i="24"/>
  <c r="BR5" i="24"/>
  <c r="BR19" i="24" s="1"/>
  <c r="BS5" i="24"/>
  <c r="BS19" i="24" s="1"/>
  <c r="BT5" i="24"/>
  <c r="BT19" i="24" s="1"/>
  <c r="BU5" i="24"/>
  <c r="BU19" i="24" s="1"/>
  <c r="BL5" i="24"/>
  <c r="BC5" i="24"/>
  <c r="BD5" i="24"/>
  <c r="BE5" i="24"/>
  <c r="BF5" i="24"/>
  <c r="BG5" i="24"/>
  <c r="BH5" i="24"/>
  <c r="BH19" i="24" s="1"/>
  <c r="BI5" i="24"/>
  <c r="BI19" i="24" s="1"/>
  <c r="BJ5" i="24"/>
  <c r="BJ19" i="24" s="1"/>
  <c r="BK5" i="24"/>
  <c r="BK19" i="24" s="1"/>
  <c r="BB5" i="24"/>
  <c r="AS5" i="24"/>
  <c r="AT5" i="24"/>
  <c r="AU5" i="24"/>
  <c r="AV5" i="24"/>
  <c r="AW5" i="24"/>
  <c r="AX5" i="24"/>
  <c r="AY5" i="24"/>
  <c r="AZ5" i="24"/>
  <c r="BA5" i="24"/>
  <c r="AR5" i="24"/>
  <c r="AH5" i="24"/>
  <c r="AH19" i="24" s="1"/>
  <c r="AI5" i="24"/>
  <c r="AI19" i="24" s="1"/>
  <c r="AJ5" i="24"/>
  <c r="AJ19" i="24" s="1"/>
  <c r="AK5" i="24"/>
  <c r="AK19" i="24" s="1"/>
  <c r="AL5" i="24"/>
  <c r="AL19" i="24" s="1"/>
  <c r="AM5" i="24"/>
  <c r="AM19" i="24" s="1"/>
  <c r="AN5" i="24"/>
  <c r="AN19" i="24" s="1"/>
  <c r="AO5" i="24"/>
  <c r="AO19" i="24" s="1"/>
  <c r="AP5" i="24"/>
  <c r="AP19" i="24" s="1"/>
  <c r="AQ5" i="24"/>
  <c r="Y5" i="24"/>
  <c r="Z5" i="24"/>
  <c r="AA5" i="24"/>
  <c r="AB5" i="24"/>
  <c r="AC5" i="24"/>
  <c r="AD5" i="24"/>
  <c r="AD19" i="24" s="1"/>
  <c r="AE5" i="24"/>
  <c r="AE19" i="24" s="1"/>
  <c r="AF5" i="24"/>
  <c r="AF19" i="24" s="1"/>
  <c r="AG5" i="24"/>
  <c r="X5" i="24"/>
  <c r="O5" i="24"/>
  <c r="P5" i="24"/>
  <c r="Q5" i="24"/>
  <c r="R5" i="24"/>
  <c r="S5" i="24"/>
  <c r="T5" i="24"/>
  <c r="T19" i="24" s="1"/>
  <c r="U5" i="24"/>
  <c r="U19" i="24" s="1"/>
  <c r="V5" i="24"/>
  <c r="V19" i="24" s="1"/>
  <c r="W5" i="24"/>
  <c r="W19" i="24" s="1"/>
  <c r="N5" i="24"/>
  <c r="N19" i="24" s="1"/>
  <c r="E5" i="24"/>
  <c r="F5" i="24"/>
  <c r="G5" i="24"/>
  <c r="G16" i="24" s="1"/>
  <c r="H5" i="24"/>
  <c r="H16" i="24" s="1"/>
  <c r="I5" i="24"/>
  <c r="I16" i="24" s="1"/>
  <c r="J5" i="24"/>
  <c r="K5" i="24"/>
  <c r="L5" i="24"/>
  <c r="M5" i="24"/>
  <c r="D5" i="24"/>
  <c r="I188" i="14"/>
  <c r="I189" i="14"/>
  <c r="I190" i="14"/>
  <c r="I191" i="14"/>
  <c r="I192" i="14"/>
  <c r="I187" i="14"/>
  <c r="G188" i="14"/>
  <c r="H188" i="14" s="1"/>
  <c r="G189" i="14"/>
  <c r="H189" i="14" s="1"/>
  <c r="G190" i="14"/>
  <c r="H190" i="14" s="1"/>
  <c r="G191" i="14"/>
  <c r="H191" i="14" s="1"/>
  <c r="G192" i="14"/>
  <c r="H192" i="14" s="1"/>
  <c r="G187" i="14"/>
  <c r="H187" i="14" s="1"/>
  <c r="O190" i="14"/>
  <c r="O188" i="14"/>
  <c r="O191" i="14"/>
  <c r="X16" i="24" l="1"/>
  <c r="X19" i="24"/>
  <c r="Y16" i="24"/>
  <c r="Y19" i="24"/>
  <c r="O16" i="24"/>
  <c r="O19" i="24"/>
  <c r="S16" i="24"/>
  <c r="S19" i="24"/>
  <c r="AC16" i="24"/>
  <c r="AC19" i="24"/>
  <c r="R16" i="24"/>
  <c r="R19" i="24"/>
  <c r="AB16" i="24"/>
  <c r="AB19" i="24"/>
  <c r="Q16" i="24"/>
  <c r="Q19" i="24"/>
  <c r="AA16" i="24"/>
  <c r="AA19" i="24"/>
  <c r="Z16" i="24"/>
  <c r="Z19" i="24"/>
  <c r="P16" i="24"/>
  <c r="P19" i="24"/>
  <c r="AY8" i="24"/>
  <c r="AY10" i="24"/>
  <c r="AY9" i="24"/>
  <c r="BN16" i="24"/>
  <c r="BN19" i="24"/>
  <c r="BO16" i="24"/>
  <c r="BO19" i="24"/>
  <c r="BQ16" i="24"/>
  <c r="BQ19" i="24"/>
  <c r="BP16" i="24"/>
  <c r="BP19" i="24"/>
  <c r="BG16" i="24"/>
  <c r="BG19" i="24"/>
  <c r="BF16" i="24"/>
  <c r="BF19" i="24"/>
  <c r="BE16" i="24"/>
  <c r="BE19" i="24"/>
  <c r="BD16" i="24"/>
  <c r="BD19" i="24"/>
  <c r="AW16" i="24"/>
  <c r="AW9" i="24"/>
  <c r="AW19" i="24"/>
  <c r="AW10" i="24"/>
  <c r="AW12" i="24"/>
  <c r="AW13" i="24"/>
  <c r="AW8" i="24"/>
  <c r="AW11" i="24"/>
  <c r="AY13" i="24"/>
  <c r="AY11" i="24"/>
  <c r="AY19" i="24"/>
  <c r="AY12" i="24"/>
  <c r="AX9" i="24"/>
  <c r="AX19" i="24"/>
  <c r="AX13" i="24"/>
  <c r="AX10" i="24"/>
  <c r="AX11" i="24"/>
  <c r="AX12" i="24"/>
  <c r="AX8" i="24"/>
  <c r="AV16" i="24"/>
  <c r="AV19" i="24"/>
  <c r="AV10" i="24"/>
  <c r="AV8" i="24"/>
  <c r="AV11" i="24"/>
  <c r="AV12" i="24"/>
  <c r="AV13" i="24"/>
  <c r="AV9" i="24"/>
  <c r="AU16" i="24"/>
  <c r="AU10" i="24"/>
  <c r="AU9" i="24"/>
  <c r="AU12" i="24"/>
  <c r="AU13" i="24"/>
  <c r="AU8" i="24"/>
  <c r="AU19" i="24"/>
  <c r="AU11" i="24"/>
  <c r="BA19" i="24"/>
  <c r="BA12" i="24"/>
  <c r="BA11" i="24"/>
  <c r="BA13" i="24"/>
  <c r="BA9" i="24"/>
  <c r="BA8" i="24"/>
  <c r="BA10" i="24"/>
  <c r="AZ19" i="24"/>
  <c r="AZ12" i="24"/>
  <c r="AZ9" i="24"/>
  <c r="AZ11" i="24"/>
  <c r="AZ13" i="24"/>
  <c r="AZ8" i="24"/>
  <c r="AZ10" i="24"/>
  <c r="J19" i="24"/>
  <c r="J16" i="24"/>
  <c r="V16" i="24"/>
  <c r="AD16" i="24"/>
  <c r="AO16" i="24"/>
  <c r="AX16" i="24"/>
  <c r="BJ16" i="24"/>
  <c r="BR16" i="24"/>
  <c r="CD16" i="24"/>
  <c r="M19" i="24"/>
  <c r="M16" i="24"/>
  <c r="U16" i="24"/>
  <c r="AG16" i="24"/>
  <c r="AN16" i="24"/>
  <c r="BA16" i="24"/>
  <c r="BI16" i="24"/>
  <c r="BU16" i="24"/>
  <c r="CC16" i="24"/>
  <c r="L19" i="24"/>
  <c r="L16" i="24"/>
  <c r="T16" i="24"/>
  <c r="AF16" i="24"/>
  <c r="AQ16" i="24"/>
  <c r="AZ16" i="24"/>
  <c r="BH16" i="24"/>
  <c r="BT16" i="24"/>
  <c r="CB16" i="24"/>
  <c r="K16" i="24"/>
  <c r="K19" i="24"/>
  <c r="W16" i="24"/>
  <c r="AE16" i="24"/>
  <c r="AP16" i="24"/>
  <c r="AY16" i="24"/>
  <c r="BK16" i="24"/>
  <c r="BS16" i="24"/>
  <c r="CE16" i="24"/>
  <c r="AM16" i="24"/>
  <c r="AI16" i="24"/>
  <c r="BV16" i="24"/>
  <c r="AL16" i="24"/>
  <c r="AH16" i="24"/>
  <c r="CA16" i="24"/>
  <c r="BW16" i="24"/>
  <c r="AK16" i="24"/>
  <c r="BZ16" i="24"/>
  <c r="AJ16" i="24"/>
  <c r="BY16" i="24"/>
  <c r="BX16" i="24"/>
  <c r="BR23" i="24"/>
  <c r="J7" i="24"/>
  <c r="J6" i="24"/>
  <c r="AX6" i="24" s="1"/>
  <c r="V7" i="24"/>
  <c r="Z7" i="24"/>
  <c r="AK7" i="24"/>
  <c r="AT7" i="24"/>
  <c r="AT23" i="24"/>
  <c r="M7" i="24"/>
  <c r="M6" i="24"/>
  <c r="BU6" i="24" s="1"/>
  <c r="I7" i="24"/>
  <c r="I6" i="24"/>
  <c r="BQ6" i="24" s="1"/>
  <c r="E7" i="24"/>
  <c r="E6" i="24"/>
  <c r="U7" i="24"/>
  <c r="Q7" i="24"/>
  <c r="AG7" i="24"/>
  <c r="AC7" i="24"/>
  <c r="Y7" i="24"/>
  <c r="AN7" i="24"/>
  <c r="AN6" i="24"/>
  <c r="AJ6" i="24"/>
  <c r="BA7" i="24"/>
  <c r="BA23" i="24"/>
  <c r="AW7" i="24"/>
  <c r="AW23" i="24"/>
  <c r="AS7" i="24"/>
  <c r="AS23" i="24"/>
  <c r="BI7" i="24"/>
  <c r="BI23" i="24"/>
  <c r="F6" i="24"/>
  <c r="BN6" i="24" s="1"/>
  <c r="F7" i="24"/>
  <c r="R7" i="24"/>
  <c r="AD7" i="24"/>
  <c r="AR7" i="24"/>
  <c r="AR23" i="24"/>
  <c r="BJ7" i="24"/>
  <c r="BJ23" i="24"/>
  <c r="L6" i="24"/>
  <c r="AP6" i="24" s="1"/>
  <c r="L7" i="24"/>
  <c r="H6" i="24"/>
  <c r="R6" i="24" s="1"/>
  <c r="H7" i="24"/>
  <c r="N7" i="24"/>
  <c r="T7" i="24"/>
  <c r="P7" i="24"/>
  <c r="AF7" i="24"/>
  <c r="AB7" i="24"/>
  <c r="AQ7" i="24"/>
  <c r="AM7" i="24"/>
  <c r="AM6" i="24"/>
  <c r="AI7" i="24"/>
  <c r="AZ23" i="24"/>
  <c r="AZ7" i="24"/>
  <c r="AV23" i="24"/>
  <c r="AV7" i="24"/>
  <c r="BB7" i="24"/>
  <c r="BB23" i="24"/>
  <c r="BH23" i="24"/>
  <c r="BH7" i="24"/>
  <c r="BD23" i="24"/>
  <c r="BD7" i="24"/>
  <c r="BT23" i="24"/>
  <c r="BT7" i="24"/>
  <c r="BP23" i="24"/>
  <c r="BP7" i="24"/>
  <c r="BV7" i="24"/>
  <c r="BV23" i="24"/>
  <c r="CB23" i="24"/>
  <c r="CB7" i="24"/>
  <c r="CB6" i="24"/>
  <c r="BX23" i="24"/>
  <c r="BX7" i="24"/>
  <c r="BX6" i="24"/>
  <c r="BJ6" i="24"/>
  <c r="AJ7" i="24"/>
  <c r="D6" i="24"/>
  <c r="BL6" i="24" s="1"/>
  <c r="BL16" i="24" s="1"/>
  <c r="D7" i="24"/>
  <c r="X7" i="24"/>
  <c r="AO7" i="24"/>
  <c r="AX7" i="24"/>
  <c r="AX23" i="24"/>
  <c r="BF7" i="24"/>
  <c r="BF23" i="24"/>
  <c r="K7" i="24"/>
  <c r="K6" i="24"/>
  <c r="U6" i="24" s="1"/>
  <c r="G7" i="24"/>
  <c r="G6" i="24"/>
  <c r="AK6" i="24" s="1"/>
  <c r="W7" i="24"/>
  <c r="S7" i="24"/>
  <c r="S6" i="24"/>
  <c r="O7" i="24"/>
  <c r="AE7" i="24"/>
  <c r="AA7" i="24"/>
  <c r="AP7" i="24"/>
  <c r="AL7" i="24"/>
  <c r="AH7" i="24"/>
  <c r="AH6" i="24"/>
  <c r="AY7" i="24"/>
  <c r="AY23" i="24"/>
  <c r="AU7" i="24"/>
  <c r="AU23" i="24"/>
  <c r="AD6" i="24"/>
  <c r="BF6" i="24"/>
  <c r="BK7" i="24"/>
  <c r="BK23" i="24"/>
  <c r="BG7" i="24"/>
  <c r="BG23" i="24"/>
  <c r="BC7" i="24"/>
  <c r="BC23" i="24"/>
  <c r="BS7" i="24"/>
  <c r="BS23" i="24"/>
  <c r="BO7" i="24"/>
  <c r="BO23" i="24"/>
  <c r="CE7" i="24"/>
  <c r="CE23" i="24"/>
  <c r="CA7" i="24"/>
  <c r="CA23" i="24"/>
  <c r="BW7" i="24"/>
  <c r="BW23" i="24"/>
  <c r="BY6" i="24"/>
  <c r="CD23" i="24"/>
  <c r="BL7" i="24"/>
  <c r="BL23" i="24"/>
  <c r="BR7" i="24"/>
  <c r="BN7" i="24"/>
  <c r="BN23" i="24"/>
  <c r="CD7" i="24"/>
  <c r="BZ7" i="24"/>
  <c r="BZ23" i="24"/>
  <c r="BE7" i="24"/>
  <c r="BE23" i="24"/>
  <c r="BU7" i="24"/>
  <c r="BU23" i="24"/>
  <c r="BQ7" i="24"/>
  <c r="BQ23" i="24"/>
  <c r="BM7" i="24"/>
  <c r="BM23" i="24"/>
  <c r="CC7" i="24"/>
  <c r="CC23" i="24"/>
  <c r="BY7" i="24"/>
  <c r="BY23" i="24"/>
  <c r="BK6" i="24"/>
  <c r="CA6" i="24"/>
  <c r="F16" i="24" l="1"/>
  <c r="Y6" i="24"/>
  <c r="E16" i="24"/>
  <c r="D16" i="24"/>
  <c r="P6" i="24"/>
  <c r="Z6" i="24"/>
  <c r="BT6" i="24"/>
  <c r="BV6" i="24"/>
  <c r="BD6" i="24"/>
  <c r="AB6" i="24"/>
  <c r="AC6" i="24"/>
  <c r="AZ6" i="24"/>
  <c r="AF6" i="24"/>
  <c r="CD6" i="24"/>
  <c r="AG6" i="24"/>
  <c r="W6" i="24"/>
  <c r="BA6" i="24"/>
  <c r="CE6" i="24"/>
  <c r="AQ6" i="24"/>
  <c r="V6" i="24"/>
  <c r="CC6" i="24"/>
  <c r="AO6" i="24"/>
  <c r="AI6" i="24"/>
  <c r="O6" i="24"/>
  <c r="AS6" i="24"/>
  <c r="AS16" i="24" s="1"/>
  <c r="BM6" i="24"/>
  <c r="BM16" i="24" s="1"/>
  <c r="BZ6" i="24"/>
  <c r="BW6" i="24"/>
  <c r="BC6" i="24"/>
  <c r="BC16" i="24" s="1"/>
  <c r="AL6" i="24"/>
  <c r="AW6" i="24"/>
  <c r="BS6" i="24"/>
  <c r="AE6" i="24"/>
  <c r="AY6" i="24"/>
  <c r="BI6" i="24"/>
  <c r="BH6" i="24"/>
  <c r="T6" i="24"/>
  <c r="BR6" i="24"/>
  <c r="BG6" i="24"/>
  <c r="BP6" i="24"/>
  <c r="AV6" i="24"/>
  <c r="BO6" i="24"/>
  <c r="BE6" i="24"/>
  <c r="AU6" i="24"/>
  <c r="Q6" i="24"/>
  <c r="AA6" i="24"/>
  <c r="BB6" i="24"/>
  <c r="BB16" i="24" s="1"/>
  <c r="AT6" i="24"/>
  <c r="AT16" i="24" s="1"/>
  <c r="AR6" i="24"/>
  <c r="AR16" i="24" s="1"/>
  <c r="N6" i="24"/>
  <c r="N16" i="24" s="1"/>
  <c r="X6" i="24"/>
  <c r="G186" i="14" l="1"/>
  <c r="G185" i="14"/>
  <c r="G184" i="14"/>
  <c r="G181" i="14"/>
  <c r="G179" i="14"/>
  <c r="G178" i="14"/>
  <c r="G175" i="14"/>
  <c r="C34" i="14" l="1"/>
  <c r="C36" i="14"/>
  <c r="C39" i="14"/>
  <c r="C40" i="14"/>
  <c r="C116" i="6" l="1"/>
  <c r="C117" i="6"/>
  <c r="C119" i="6"/>
  <c r="C120" i="6"/>
  <c r="C121" i="6"/>
  <c r="C115" i="6"/>
  <c r="C112" i="6"/>
  <c r="C35" i="6"/>
  <c r="C34" i="6"/>
  <c r="C32" i="6"/>
  <c r="C31" i="6"/>
  <c r="C29" i="6"/>
  <c r="C28" i="6"/>
  <c r="H35" i="6"/>
  <c r="H34" i="6"/>
  <c r="H32" i="6"/>
  <c r="H31" i="6"/>
  <c r="H26" i="6"/>
  <c r="C58" i="6" a="1"/>
  <c r="C58" i="6" s="1"/>
  <c r="C57" i="6" a="1"/>
  <c r="C57" i="6" s="1"/>
  <c r="E34" i="6"/>
  <c r="C64" i="14"/>
  <c r="C62" i="14"/>
  <c r="C61" i="14"/>
  <c r="C67" i="14"/>
  <c r="C66" i="14"/>
  <c r="C55" i="14"/>
  <c r="C54" i="14"/>
  <c r="C51" i="14"/>
  <c r="C4" i="16" a="1"/>
  <c r="C5" i="16" a="1"/>
  <c r="C5" i="16" s="1"/>
  <c r="E8" i="24"/>
  <c r="AS8" i="24" s="1"/>
  <c r="F8" i="24"/>
  <c r="AT8" i="24" s="1"/>
  <c r="G8" i="24"/>
  <c r="H8" i="24"/>
  <c r="I8" i="24"/>
  <c r="J8" i="24"/>
  <c r="K8" i="24"/>
  <c r="C4" i="16" l="1"/>
  <c r="C6" i="16" s="1" a="1"/>
  <c r="C6" i="16" s="1"/>
  <c r="D6" i="16" a="1"/>
  <c r="D6" i="16" s="1"/>
  <c r="E6" i="16" a="1"/>
  <c r="E6" i="16" s="1"/>
  <c r="F6" i="16" a="1"/>
  <c r="F6" i="16" s="1"/>
  <c r="G6" i="16" a="1"/>
  <c r="G6" i="16" s="1"/>
  <c r="H6" i="16" a="1"/>
  <c r="H6" i="16" s="1"/>
  <c r="E12" i="24" a="1"/>
  <c r="E12" i="24" s="1"/>
  <c r="AS12" i="24" s="1"/>
  <c r="H18" i="24" a="1"/>
  <c r="H18" i="24" s="1"/>
  <c r="R18" i="24" s="1"/>
  <c r="AL8" i="24"/>
  <c r="BZ8" i="24"/>
  <c r="G18" i="24" a="1"/>
  <c r="G18" i="24" s="1"/>
  <c r="AA18" i="24" s="1"/>
  <c r="AK8" i="24"/>
  <c r="BY8" i="24"/>
  <c r="F18" i="24" a="1"/>
  <c r="F18" i="24" s="1"/>
  <c r="BD18" i="24" s="1"/>
  <c r="AJ8" i="24"/>
  <c r="BX8" i="24"/>
  <c r="BW8" i="24"/>
  <c r="AI8" i="24"/>
  <c r="K18" i="24" a="1"/>
  <c r="K18" i="24" s="1"/>
  <c r="BS18" i="24" s="1"/>
  <c r="AO8" i="24"/>
  <c r="CC8" i="24"/>
  <c r="J18" i="24" a="1"/>
  <c r="J18" i="24" s="1"/>
  <c r="T18" i="24" s="1"/>
  <c r="CB8" i="24"/>
  <c r="AN8" i="24"/>
  <c r="I18" i="24" a="1"/>
  <c r="I18" i="24" s="1"/>
  <c r="BQ18" i="24" s="1"/>
  <c r="CA8" i="24"/>
  <c r="AM8" i="24"/>
  <c r="E67" i="16"/>
  <c r="E65" i="16"/>
  <c r="E56" i="16"/>
  <c r="E57" i="16" s="1"/>
  <c r="E58" i="16" s="1"/>
  <c r="E53" i="16"/>
  <c r="E54" i="16" s="1"/>
  <c r="E55" i="16" s="1"/>
  <c r="AE8" i="24"/>
  <c r="BS8" i="24"/>
  <c r="U8" i="24"/>
  <c r="BI8" i="24"/>
  <c r="BR8" i="24"/>
  <c r="AD8" i="24"/>
  <c r="T8" i="24"/>
  <c r="BH8" i="24"/>
  <c r="S8" i="24"/>
  <c r="BQ8" i="24"/>
  <c r="AC8" i="24"/>
  <c r="BG8" i="24"/>
  <c r="R8" i="24"/>
  <c r="BF8" i="24"/>
  <c r="BP8" i="24"/>
  <c r="AB8" i="24"/>
  <c r="AA8" i="24"/>
  <c r="Q8" i="24"/>
  <c r="BE8" i="24"/>
  <c r="BO8" i="24"/>
  <c r="Z8" i="24"/>
  <c r="BN8" i="24"/>
  <c r="P8" i="24"/>
  <c r="BD8" i="24"/>
  <c r="Y8" i="24"/>
  <c r="BM8" i="24"/>
  <c r="O8" i="24"/>
  <c r="BC8" i="24"/>
  <c r="E18" i="24" a="1"/>
  <c r="E18" i="24" s="1"/>
  <c r="E29" i="6"/>
  <c r="E32" i="6"/>
  <c r="E35" i="6"/>
  <c r="E28" i="6"/>
  <c r="E31" i="6"/>
  <c r="AT18" i="24" l="1"/>
  <c r="BE18" i="24"/>
  <c r="BO18" i="24"/>
  <c r="BF18" i="24"/>
  <c r="AK18" i="24"/>
  <c r="AU18" i="24"/>
  <c r="AB18" i="24"/>
  <c r="BY18" i="24"/>
  <c r="Z18" i="24"/>
  <c r="BP18" i="24"/>
  <c r="AJ18" i="24"/>
  <c r="BN18" i="24"/>
  <c r="AV18" i="24"/>
  <c r="BX18" i="24"/>
  <c r="P18" i="24"/>
  <c r="AL18" i="24"/>
  <c r="Q18" i="24"/>
  <c r="BZ18" i="24"/>
  <c r="AO18" i="24"/>
  <c r="CC18" i="24"/>
  <c r="AY18" i="24"/>
  <c r="U18" i="24"/>
  <c r="BI18" i="24"/>
  <c r="AE18" i="24"/>
  <c r="BH18" i="24"/>
  <c r="AD18" i="24"/>
  <c r="CB18" i="24"/>
  <c r="BR18" i="24"/>
  <c r="AN18" i="24"/>
  <c r="AX18" i="24"/>
  <c r="S18" i="24"/>
  <c r="CA18" i="24"/>
  <c r="AW18" i="24"/>
  <c r="AM18" i="24"/>
  <c r="BG18" i="24"/>
  <c r="AC18" i="24"/>
  <c r="AI18" i="24"/>
  <c r="BW18" i="24"/>
  <c r="E59" i="16"/>
  <c r="BC18" i="24"/>
  <c r="O18" i="24"/>
  <c r="AS18" i="24"/>
  <c r="BM18" i="24"/>
  <c r="Y18" i="24"/>
  <c r="D35" i="6"/>
  <c r="D32" i="6"/>
  <c r="D34" i="6"/>
  <c r="D31" i="6"/>
  <c r="D28" i="6"/>
  <c r="D29" i="6"/>
  <c r="E121" i="6"/>
  <c r="E115" i="6"/>
  <c r="E116" i="6"/>
  <c r="E119" i="6"/>
  <c r="E117" i="6"/>
  <c r="E112" i="6"/>
  <c r="E120" i="6"/>
  <c r="F28" i="6"/>
  <c r="F31" i="6"/>
  <c r="F34" i="6"/>
  <c r="F35" i="6"/>
  <c r="F32" i="6"/>
  <c r="F29" i="6"/>
  <c r="F3" i="6"/>
  <c r="F117" i="6"/>
  <c r="F112" i="6"/>
  <c r="F121" i="6"/>
  <c r="F115" i="6"/>
  <c r="F119" i="6"/>
  <c r="F120" i="6"/>
  <c r="F116" i="6"/>
  <c r="D115" i="6"/>
  <c r="D119" i="6"/>
  <c r="D116" i="6"/>
  <c r="D117" i="6"/>
  <c r="D112" i="6"/>
  <c r="D121" i="6"/>
  <c r="D120" i="6"/>
  <c r="F144" i="6" l="1"/>
  <c r="C41" i="6"/>
  <c r="E6" i="7"/>
  <c r="F6" i="7"/>
  <c r="G6" i="7"/>
  <c r="H6" i="7"/>
  <c r="C6" i="7"/>
  <c r="C5" i="7" a="1"/>
  <c r="C5" i="7" l="1"/>
  <c r="C43" i="16" l="1"/>
  <c r="C24" i="6"/>
  <c r="C23" i="6"/>
  <c r="C20" i="6"/>
  <c r="C19" i="6"/>
  <c r="C17" i="6"/>
  <c r="C16" i="6"/>
  <c r="C14" i="6"/>
  <c r="C13" i="6"/>
  <c r="C11" i="6"/>
  <c r="C10" i="6"/>
  <c r="C8" i="6"/>
  <c r="C7" i="6"/>
  <c r="H24" i="6"/>
  <c r="H23" i="6"/>
  <c r="H22" i="6"/>
  <c r="H19" i="6"/>
  <c r="H18" i="6"/>
  <c r="H17" i="6"/>
  <c r="H16" i="6"/>
  <c r="H15" i="6"/>
  <c r="H14" i="6"/>
  <c r="H13" i="6"/>
  <c r="H12" i="6"/>
  <c r="H11" i="6"/>
  <c r="H10" i="6"/>
  <c r="C3" i="6"/>
  <c r="F36" i="1"/>
  <c r="E36" i="1"/>
  <c r="I75" i="1"/>
  <c r="I72" i="1"/>
  <c r="I69" i="1"/>
  <c r="I53" i="1"/>
  <c r="I52" i="1"/>
  <c r="I50" i="1"/>
  <c r="I47" i="1"/>
  <c r="I44" i="1"/>
  <c r="I41" i="1"/>
  <c r="I38" i="1"/>
  <c r="K5" i="9"/>
  <c r="K6" i="9" s="1"/>
  <c r="K7" i="9" s="1"/>
  <c r="K8" i="9" s="1"/>
  <c r="L5" i="9"/>
  <c r="L6" i="9" s="1"/>
  <c r="L7" i="9" s="1"/>
  <c r="L8" i="9" s="1"/>
  <c r="M5" i="9"/>
  <c r="M6" i="9" s="1"/>
  <c r="M7" i="9" s="1"/>
  <c r="M8" i="9" s="1"/>
  <c r="N5" i="9"/>
  <c r="N6" i="9" s="1"/>
  <c r="N7" i="9" s="1"/>
  <c r="N8" i="9" s="1"/>
  <c r="O5" i="9"/>
  <c r="O6" i="9" s="1"/>
  <c r="O7" i="9" s="1"/>
  <c r="O8" i="9" s="1"/>
  <c r="P5" i="9"/>
  <c r="P6" i="9" s="1"/>
  <c r="P7" i="9" s="1"/>
  <c r="P8" i="9" s="1"/>
  <c r="B3" i="9"/>
  <c r="E30" i="24"/>
  <c r="F30" i="24"/>
  <c r="G30" i="24"/>
  <c r="H30" i="24"/>
  <c r="I30" i="24"/>
  <c r="J30" i="24"/>
  <c r="K30" i="24"/>
  <c r="L30" i="24"/>
  <c r="M30" i="24"/>
  <c r="N30" i="24"/>
  <c r="O30" i="24"/>
  <c r="P30" i="24"/>
  <c r="Q30" i="24"/>
  <c r="R30" i="24"/>
  <c r="S30" i="24"/>
  <c r="T30" i="24"/>
  <c r="U30" i="24"/>
  <c r="V30" i="24"/>
  <c r="W30" i="24"/>
  <c r="X30" i="24"/>
  <c r="Y30" i="24"/>
  <c r="Z30" i="24"/>
  <c r="AA30" i="24"/>
  <c r="AB30" i="24"/>
  <c r="AC30" i="24"/>
  <c r="AD30" i="24"/>
  <c r="AE30" i="24"/>
  <c r="AF30" i="24"/>
  <c r="AG30" i="24"/>
  <c r="AH30" i="24"/>
  <c r="AI30" i="24"/>
  <c r="AJ30" i="24"/>
  <c r="AK30" i="24"/>
  <c r="AL30" i="24"/>
  <c r="AM30" i="24"/>
  <c r="AN30" i="24"/>
  <c r="AO30" i="24"/>
  <c r="AP30" i="24"/>
  <c r="AQ30" i="24"/>
  <c r="AR30" i="24"/>
  <c r="AS30" i="24"/>
  <c r="AT30" i="24"/>
  <c r="AU30" i="24"/>
  <c r="AV30" i="24"/>
  <c r="AW30" i="24"/>
  <c r="AX30" i="24"/>
  <c r="AY30" i="24"/>
  <c r="AZ30" i="24"/>
  <c r="BA30" i="24"/>
  <c r="BB30" i="24"/>
  <c r="BC30" i="24"/>
  <c r="BD30" i="24"/>
  <c r="BE30" i="24"/>
  <c r="BF30" i="24"/>
  <c r="BG30" i="24"/>
  <c r="BH30" i="24"/>
  <c r="BI30" i="24"/>
  <c r="BJ30" i="24"/>
  <c r="BK30" i="24"/>
  <c r="BL30" i="24"/>
  <c r="BM30" i="24"/>
  <c r="BN30" i="24"/>
  <c r="BO30" i="24"/>
  <c r="BP30" i="24"/>
  <c r="BQ30" i="24"/>
  <c r="BR30" i="24"/>
  <c r="BS30" i="24"/>
  <c r="BT30" i="24"/>
  <c r="BU30" i="24"/>
  <c r="BV30" i="24"/>
  <c r="BW30" i="24"/>
  <c r="BX30" i="24"/>
  <c r="BY30" i="24"/>
  <c r="BZ30" i="24"/>
  <c r="CA30" i="24"/>
  <c r="CB30" i="24"/>
  <c r="CC30" i="24"/>
  <c r="CD30" i="24"/>
  <c r="CE30" i="24"/>
  <c r="E31" i="24"/>
  <c r="F31" i="24"/>
  <c r="G31" i="24"/>
  <c r="H31" i="24"/>
  <c r="I31" i="24"/>
  <c r="J31" i="24"/>
  <c r="K31" i="24"/>
  <c r="L31" i="24"/>
  <c r="M31" i="24"/>
  <c r="N31" i="24"/>
  <c r="O31" i="24"/>
  <c r="P31" i="24"/>
  <c r="Q31" i="24"/>
  <c r="R31" i="24"/>
  <c r="S31" i="24"/>
  <c r="T31" i="24"/>
  <c r="U31" i="24"/>
  <c r="V31" i="24"/>
  <c r="W31" i="24"/>
  <c r="X31" i="24"/>
  <c r="Y31" i="24"/>
  <c r="Z31" i="24"/>
  <c r="AA31" i="24"/>
  <c r="AB31" i="24"/>
  <c r="AC31" i="24"/>
  <c r="AD31" i="24"/>
  <c r="AE31" i="24"/>
  <c r="AF31" i="24"/>
  <c r="AG31" i="24"/>
  <c r="AH31" i="24"/>
  <c r="AI31" i="24"/>
  <c r="AJ31" i="24"/>
  <c r="AK31" i="24"/>
  <c r="AL31" i="24"/>
  <c r="AM31" i="24"/>
  <c r="AN31" i="24"/>
  <c r="AO31" i="24"/>
  <c r="AP31" i="24"/>
  <c r="AQ31" i="24"/>
  <c r="AR31" i="24"/>
  <c r="AS31" i="24"/>
  <c r="AT31" i="24"/>
  <c r="AU31" i="24"/>
  <c r="AV31" i="24"/>
  <c r="AW31" i="24"/>
  <c r="AX31" i="24"/>
  <c r="AY31" i="24"/>
  <c r="AZ31" i="24"/>
  <c r="BA31" i="24"/>
  <c r="BB31" i="24"/>
  <c r="BC31" i="24"/>
  <c r="BD31" i="24"/>
  <c r="BE31" i="24"/>
  <c r="BF31" i="24"/>
  <c r="BG31" i="24"/>
  <c r="BH31" i="24"/>
  <c r="BI31" i="24"/>
  <c r="BJ31" i="24"/>
  <c r="BK31" i="24"/>
  <c r="BL31" i="24"/>
  <c r="BM31" i="24"/>
  <c r="BN31" i="24"/>
  <c r="BO31" i="24"/>
  <c r="BP31" i="24"/>
  <c r="BQ31" i="24"/>
  <c r="BR31" i="24"/>
  <c r="BS31" i="24"/>
  <c r="BT31" i="24"/>
  <c r="BU31" i="24"/>
  <c r="BV31" i="24"/>
  <c r="BW31" i="24"/>
  <c r="BX31" i="24"/>
  <c r="BY31" i="24"/>
  <c r="BZ31" i="24"/>
  <c r="CA31" i="24"/>
  <c r="CB31" i="24"/>
  <c r="CC31" i="24"/>
  <c r="CD31" i="24"/>
  <c r="CE31" i="24"/>
  <c r="H7" i="1" l="1"/>
  <c r="L8" i="24"/>
  <c r="M8" i="24"/>
  <c r="D8" i="24"/>
  <c r="AR8" i="24" s="1"/>
  <c r="D12" i="24" l="1" a="1"/>
  <c r="D12" i="24" s="1"/>
  <c r="AR12" i="24" s="1"/>
  <c r="AH8" i="24"/>
  <c r="BV8" i="24"/>
  <c r="M18" i="24" a="1"/>
  <c r="M18" i="24" s="1"/>
  <c r="W8" i="24"/>
  <c r="AG8" i="24"/>
  <c r="BK8" i="24"/>
  <c r="CE8" i="24"/>
  <c r="AQ8" i="24"/>
  <c r="BU8" i="24"/>
  <c r="L18" i="24" a="1"/>
  <c r="L18" i="24" s="1"/>
  <c r="BJ8" i="24"/>
  <c r="CD8" i="24"/>
  <c r="AP8" i="24"/>
  <c r="AF8" i="24"/>
  <c r="V8" i="24"/>
  <c r="BT8" i="24"/>
  <c r="X8" i="24"/>
  <c r="BL8" i="24"/>
  <c r="N8" i="24"/>
  <c r="BB8" i="24"/>
  <c r="D18" i="24" a="1"/>
  <c r="D18" i="24" s="1"/>
  <c r="H11" i="24"/>
  <c r="H9" i="24"/>
  <c r="H10" i="24"/>
  <c r="H13" i="24"/>
  <c r="H12" i="24" a="1"/>
  <c r="H12" i="24" s="1"/>
  <c r="K11" i="24"/>
  <c r="K9" i="24"/>
  <c r="K13" i="24"/>
  <c r="K10" i="24"/>
  <c r="K12" i="24" a="1"/>
  <c r="K12" i="24" s="1"/>
  <c r="G11" i="24"/>
  <c r="G9" i="24"/>
  <c r="G13" i="24"/>
  <c r="G10" i="24"/>
  <c r="G12" i="24" a="1"/>
  <c r="G12" i="24" s="1"/>
  <c r="D13" i="24"/>
  <c r="AR13" i="24" s="1"/>
  <c r="D10" i="24"/>
  <c r="AR10" i="24" s="1"/>
  <c r="D9" i="24"/>
  <c r="AR9" i="24" s="1"/>
  <c r="D11" i="24"/>
  <c r="AR11" i="24" s="1"/>
  <c r="J13" i="24"/>
  <c r="J10" i="24"/>
  <c r="J12" i="24" a="1"/>
  <c r="J12" i="24" s="1"/>
  <c r="J11" i="24"/>
  <c r="J9" i="24"/>
  <c r="F29" i="24"/>
  <c r="F34" i="24" s="1"/>
  <c r="F13" i="24"/>
  <c r="AT13" i="24" s="1"/>
  <c r="F10" i="24"/>
  <c r="AT10" i="24" s="1"/>
  <c r="F11" i="24"/>
  <c r="AT11" i="24" s="1"/>
  <c r="F9" i="24"/>
  <c r="AT9" i="24" s="1"/>
  <c r="F12" i="24" a="1"/>
  <c r="F12" i="24" s="1"/>
  <c r="AT12" i="24" s="1"/>
  <c r="L11" i="24"/>
  <c r="L9" i="24"/>
  <c r="L12" i="24" a="1"/>
  <c r="L12" i="24" s="1"/>
  <c r="L13" i="24"/>
  <c r="L10" i="24"/>
  <c r="L29" i="24"/>
  <c r="L34" i="24" s="1"/>
  <c r="M13" i="24"/>
  <c r="M10" i="24"/>
  <c r="M12" i="24" a="1"/>
  <c r="M12" i="24" s="1"/>
  <c r="M11" i="24"/>
  <c r="M9" i="24"/>
  <c r="I13" i="24"/>
  <c r="I10" i="24"/>
  <c r="I12" i="24" a="1"/>
  <c r="I12" i="24" s="1"/>
  <c r="I11" i="24"/>
  <c r="I9" i="24"/>
  <c r="E13" i="24"/>
  <c r="AS13" i="24" s="1"/>
  <c r="E10" i="24"/>
  <c r="AS10" i="24" s="1"/>
  <c r="E11" i="24"/>
  <c r="AS11" i="24" s="1"/>
  <c r="E9" i="24"/>
  <c r="AS9" i="24" s="1"/>
  <c r="D23" i="24"/>
  <c r="N23" i="24" s="1"/>
  <c r="X23" i="24" s="1"/>
  <c r="AH23" i="24" s="1"/>
  <c r="M29" i="24"/>
  <c r="M34" i="24" s="1"/>
  <c r="I29" i="24"/>
  <c r="I34" i="24" s="1"/>
  <c r="E29" i="24"/>
  <c r="E34" i="24" s="1"/>
  <c r="K29" i="24"/>
  <c r="K34" i="24" s="1"/>
  <c r="Q29" i="24"/>
  <c r="Q34" i="24" s="1"/>
  <c r="J29" i="24"/>
  <c r="J34" i="24" s="1"/>
  <c r="J23" i="24"/>
  <c r="T23" i="24" s="1"/>
  <c r="AD23" i="24" s="1"/>
  <c r="AN23" i="24" s="1"/>
  <c r="H23" i="24"/>
  <c r="R23" i="24" s="1"/>
  <c r="AB23" i="24" s="1"/>
  <c r="AL23" i="24" s="1"/>
  <c r="G29" i="24"/>
  <c r="G34" i="24" s="1"/>
  <c r="I23" i="24"/>
  <c r="S23" i="24" s="1"/>
  <c r="AC23" i="24" s="1"/>
  <c r="AM23" i="24" s="1"/>
  <c r="F23" i="24"/>
  <c r="P23" i="24" s="1"/>
  <c r="Z23" i="24" s="1"/>
  <c r="AJ23" i="24" s="1"/>
  <c r="G23" i="24"/>
  <c r="Q23" i="24" s="1"/>
  <c r="AA23" i="24" s="1"/>
  <c r="AK23" i="24" s="1"/>
  <c r="M23" i="24"/>
  <c r="W23" i="24" s="1"/>
  <c r="AG23" i="24" s="1"/>
  <c r="AQ23" i="24" s="1"/>
  <c r="E23" i="24"/>
  <c r="O23" i="24" s="1"/>
  <c r="Y23" i="24" s="1"/>
  <c r="AI23" i="24" s="1"/>
  <c r="D29" i="24"/>
  <c r="L23" i="24"/>
  <c r="V23" i="24" s="1"/>
  <c r="AF23" i="24" s="1"/>
  <c r="AP23" i="24" s="1"/>
  <c r="K23" i="24"/>
  <c r="U23" i="24" s="1"/>
  <c r="AE23" i="24" s="1"/>
  <c r="AO23" i="24" s="1"/>
  <c r="H29" i="24"/>
  <c r="H34" i="24" s="1"/>
  <c r="D31" i="24"/>
  <c r="D30" i="24"/>
  <c r="W18" i="24" l="1"/>
  <c r="BU18" i="24"/>
  <c r="BK18" i="24"/>
  <c r="BA18" i="24"/>
  <c r="AG18" i="24"/>
  <c r="CE18" i="24"/>
  <c r="AQ18" i="24"/>
  <c r="V18" i="24"/>
  <c r="BJ18" i="24"/>
  <c r="AP18" i="24"/>
  <c r="AF18" i="24"/>
  <c r="CD18" i="24"/>
  <c r="AZ18" i="24"/>
  <c r="BT18" i="24"/>
  <c r="AG11" i="24"/>
  <c r="BU11" i="24"/>
  <c r="CE11" i="24"/>
  <c r="BK11" i="24"/>
  <c r="AQ11" i="24"/>
  <c r="W11" i="24"/>
  <c r="AG12" i="24"/>
  <c r="AQ12" i="24"/>
  <c r="BU12" i="24"/>
  <c r="CE12" i="24"/>
  <c r="W12" i="24"/>
  <c r="BK12" i="24"/>
  <c r="BK9" i="24"/>
  <c r="AQ9" i="24"/>
  <c r="W9" i="24"/>
  <c r="CE9" i="24"/>
  <c r="BU9" i="24"/>
  <c r="AG9" i="24"/>
  <c r="BK10" i="24"/>
  <c r="CE10" i="24"/>
  <c r="AG10" i="24"/>
  <c r="BU10" i="24"/>
  <c r="W10" i="24"/>
  <c r="AQ10" i="24"/>
  <c r="BK13" i="24"/>
  <c r="AQ13" i="24"/>
  <c r="CE13" i="24"/>
  <c r="BU13" i="24"/>
  <c r="AG13" i="24"/>
  <c r="W13" i="24"/>
  <c r="BJ13" i="24"/>
  <c r="BT13" i="24"/>
  <c r="V13" i="24"/>
  <c r="CD13" i="24"/>
  <c r="AP13" i="24"/>
  <c r="AF13" i="24"/>
  <c r="AP12" i="24"/>
  <c r="BT12" i="24"/>
  <c r="CD12" i="24"/>
  <c r="V12" i="24"/>
  <c r="AF12" i="24"/>
  <c r="BJ12" i="24"/>
  <c r="BJ9" i="24"/>
  <c r="BT9" i="24"/>
  <c r="CD9" i="24"/>
  <c r="AP9" i="24"/>
  <c r="AF9" i="24"/>
  <c r="V9" i="24"/>
  <c r="BT11" i="24"/>
  <c r="AP11" i="24"/>
  <c r="V11" i="24"/>
  <c r="AF11" i="24"/>
  <c r="BJ11" i="24"/>
  <c r="CD11" i="24"/>
  <c r="CD10" i="24"/>
  <c r="AF10" i="24"/>
  <c r="BJ10" i="24"/>
  <c r="BT10" i="24"/>
  <c r="AP10" i="24"/>
  <c r="V10" i="24"/>
  <c r="CC13" i="24"/>
  <c r="AO13" i="24"/>
  <c r="AO12" i="24"/>
  <c r="CC12" i="24"/>
  <c r="AO9" i="24"/>
  <c r="CC9" i="24"/>
  <c r="CC10" i="24"/>
  <c r="AO10" i="24"/>
  <c r="AO11" i="24"/>
  <c r="CC11" i="24"/>
  <c r="CB10" i="24"/>
  <c r="AN10" i="24"/>
  <c r="CB9" i="24"/>
  <c r="AN9" i="24"/>
  <c r="AN11" i="24"/>
  <c r="CB11" i="24"/>
  <c r="CB12" i="24"/>
  <c r="AN12" i="24"/>
  <c r="AN13" i="24"/>
  <c r="CB13" i="24"/>
  <c r="AM10" i="24"/>
  <c r="CA10" i="24"/>
  <c r="AM13" i="24"/>
  <c r="CA13" i="24"/>
  <c r="AM9" i="24"/>
  <c r="CA9" i="24"/>
  <c r="CA11" i="24"/>
  <c r="AM11" i="24"/>
  <c r="AM12" i="24"/>
  <c r="CA12" i="24"/>
  <c r="BW12" i="24"/>
  <c r="AI12" i="24"/>
  <c r="BV11" i="24"/>
  <c r="AH11" i="24"/>
  <c r="AK11" i="24"/>
  <c r="BY11" i="24"/>
  <c r="BZ10" i="24"/>
  <c r="AL10" i="24"/>
  <c r="BW9" i="24"/>
  <c r="AI9" i="24"/>
  <c r="AJ13" i="24"/>
  <c r="BX13" i="24"/>
  <c r="BV9" i="24"/>
  <c r="AH9" i="24"/>
  <c r="AL9" i="24"/>
  <c r="BZ9" i="24"/>
  <c r="AH12" i="24"/>
  <c r="BV12" i="24"/>
  <c r="AJ11" i="24"/>
  <c r="BX11" i="24"/>
  <c r="BY9" i="24"/>
  <c r="AK9" i="24"/>
  <c r="AJ10" i="24"/>
  <c r="BX10" i="24"/>
  <c r="BW11" i="24"/>
  <c r="AI11" i="24"/>
  <c r="AH10" i="24"/>
  <c r="BV10" i="24"/>
  <c r="AL11" i="24"/>
  <c r="BZ11" i="24"/>
  <c r="AH18" i="24"/>
  <c r="BV18" i="24"/>
  <c r="BV13" i="24"/>
  <c r="AH13" i="24"/>
  <c r="BW13" i="24"/>
  <c r="AI13" i="24"/>
  <c r="BY12" i="24"/>
  <c r="AK12" i="24"/>
  <c r="AI10" i="24"/>
  <c r="BW10" i="24"/>
  <c r="AJ12" i="24"/>
  <c r="BX12" i="24"/>
  <c r="AK10" i="24"/>
  <c r="BY10" i="24"/>
  <c r="AK13" i="24"/>
  <c r="BY13" i="24"/>
  <c r="BZ12" i="24"/>
  <c r="AL12" i="24"/>
  <c r="AJ9" i="24"/>
  <c r="BX9" i="24"/>
  <c r="BZ13" i="24"/>
  <c r="AL13" i="24"/>
  <c r="BB18" i="24"/>
  <c r="N18" i="24"/>
  <c r="BL18" i="24"/>
  <c r="X18" i="24"/>
  <c r="AR18" i="24"/>
  <c r="U12" i="24"/>
  <c r="BS12" i="24"/>
  <c r="BI12" i="24"/>
  <c r="AE12" i="24"/>
  <c r="U9" i="24"/>
  <c r="AE9" i="24"/>
  <c r="BI9" i="24"/>
  <c r="BS9" i="24"/>
  <c r="U11" i="24"/>
  <c r="AE11" i="24"/>
  <c r="BS11" i="24"/>
  <c r="BI11" i="24"/>
  <c r="AE10" i="24"/>
  <c r="BS10" i="24"/>
  <c r="U10" i="24"/>
  <c r="BI10" i="24"/>
  <c r="BS13" i="24"/>
  <c r="AE13" i="24"/>
  <c r="U13" i="24"/>
  <c r="BI13" i="24"/>
  <c r="AD10" i="24"/>
  <c r="BH10" i="24"/>
  <c r="T10" i="24"/>
  <c r="BR10" i="24"/>
  <c r="BR12" i="24"/>
  <c r="T12" i="24"/>
  <c r="AD12" i="24"/>
  <c r="BH12" i="24"/>
  <c r="AD9" i="24"/>
  <c r="T9" i="24"/>
  <c r="BH9" i="24"/>
  <c r="BR9" i="24"/>
  <c r="T13" i="24"/>
  <c r="AD13" i="24"/>
  <c r="BR13" i="24"/>
  <c r="BH13" i="24"/>
  <c r="BH11" i="24"/>
  <c r="BR11" i="24"/>
  <c r="AD11" i="24"/>
  <c r="T11" i="24"/>
  <c r="S10" i="24"/>
  <c r="BQ10" i="24"/>
  <c r="BG10" i="24"/>
  <c r="AC10" i="24"/>
  <c r="AC12" i="24"/>
  <c r="BQ12" i="24"/>
  <c r="BG12" i="24"/>
  <c r="S12" i="24"/>
  <c r="AC9" i="24"/>
  <c r="S9" i="24"/>
  <c r="BQ9" i="24"/>
  <c r="BG9" i="24"/>
  <c r="AC13" i="24"/>
  <c r="S13" i="24"/>
  <c r="BQ13" i="24"/>
  <c r="BG13" i="24"/>
  <c r="S11" i="24"/>
  <c r="BQ11" i="24"/>
  <c r="BG11" i="24"/>
  <c r="AC11" i="24"/>
  <c r="R13" i="24"/>
  <c r="BF13" i="24"/>
  <c r="AB13" i="24"/>
  <c r="BP13" i="24"/>
  <c r="BP10" i="24"/>
  <c r="BF10" i="24"/>
  <c r="AB10" i="24"/>
  <c r="R10" i="24"/>
  <c r="R12" i="24"/>
  <c r="BP12" i="24"/>
  <c r="AB12" i="24"/>
  <c r="BF12" i="24"/>
  <c r="AB9" i="24"/>
  <c r="BP9" i="24"/>
  <c r="BF9" i="24"/>
  <c r="R9" i="24"/>
  <c r="AB11" i="24"/>
  <c r="R11" i="24"/>
  <c r="BP11" i="24"/>
  <c r="BF11" i="24"/>
  <c r="Q10" i="24"/>
  <c r="BE10" i="24"/>
  <c r="AA10" i="24"/>
  <c r="BO10" i="24"/>
  <c r="Q13" i="24"/>
  <c r="BE13" i="24"/>
  <c r="AA13" i="24"/>
  <c r="BO13" i="24"/>
  <c r="BE9" i="24"/>
  <c r="AA9" i="24"/>
  <c r="BO9" i="24"/>
  <c r="Q9" i="24"/>
  <c r="BE12" i="24"/>
  <c r="Q12" i="24"/>
  <c r="AA12" i="24"/>
  <c r="BO12" i="24"/>
  <c r="BE11" i="24"/>
  <c r="AA11" i="24"/>
  <c r="BO11" i="24"/>
  <c r="Q11" i="24"/>
  <c r="BM13" i="24"/>
  <c r="O13" i="24"/>
  <c r="BC13" i="24"/>
  <c r="Y13" i="24"/>
  <c r="Y9" i="24"/>
  <c r="BM9" i="24"/>
  <c r="O9" i="24"/>
  <c r="BC9" i="24"/>
  <c r="BD9" i="24"/>
  <c r="Z9" i="24"/>
  <c r="BN9" i="24"/>
  <c r="P9" i="24"/>
  <c r="BM11" i="24"/>
  <c r="O11" i="24"/>
  <c r="BC11" i="24"/>
  <c r="Y11" i="24"/>
  <c r="Z11" i="24"/>
  <c r="BN11" i="24"/>
  <c r="P11" i="24"/>
  <c r="BD11" i="24"/>
  <c r="BC10" i="24"/>
  <c r="Y10" i="24"/>
  <c r="BM10" i="24"/>
  <c r="O10" i="24"/>
  <c r="BN10" i="24"/>
  <c r="P10" i="24"/>
  <c r="BD10" i="24"/>
  <c r="Z10" i="24"/>
  <c r="Z13" i="24"/>
  <c r="BN13" i="24"/>
  <c r="P13" i="24"/>
  <c r="BD13" i="24"/>
  <c r="X10" i="24"/>
  <c r="N10" i="24"/>
  <c r="BL10" i="24"/>
  <c r="BB10" i="24"/>
  <c r="X13" i="24"/>
  <c r="BL13" i="24"/>
  <c r="N13" i="24"/>
  <c r="BB13" i="24"/>
  <c r="BL9" i="24"/>
  <c r="BB9" i="24"/>
  <c r="X9" i="24"/>
  <c r="N9" i="24"/>
  <c r="BL11" i="24"/>
  <c r="BB11" i="24"/>
  <c r="X11" i="24"/>
  <c r="N11" i="24"/>
  <c r="BL12" i="24"/>
  <c r="BB12" i="24"/>
  <c r="X12" i="24"/>
  <c r="N12" i="24"/>
  <c r="BM12" i="24"/>
  <c r="BC12" i="24"/>
  <c r="Y12" i="24"/>
  <c r="O12" i="24"/>
  <c r="BN12" i="24"/>
  <c r="BD12" i="24"/>
  <c r="Z12" i="24"/>
  <c r="P12" i="24"/>
  <c r="AD29" i="24"/>
  <c r="AD34" i="24" s="1"/>
  <c r="T29" i="24"/>
  <c r="T34" i="24" s="1"/>
  <c r="N29" i="24"/>
  <c r="N34" i="24" s="1"/>
  <c r="P29" i="24"/>
  <c r="P34" i="24" s="1"/>
  <c r="O29" i="24"/>
  <c r="O34" i="24" s="1"/>
  <c r="I32" i="24"/>
  <c r="V29" i="24"/>
  <c r="V34" i="24" s="1"/>
  <c r="W29" i="24"/>
  <c r="W34" i="24" s="1"/>
  <c r="D37" i="24"/>
  <c r="I37" i="24"/>
  <c r="M37" i="24"/>
  <c r="D32" i="24"/>
  <c r="J32" i="24"/>
  <c r="E37" i="24"/>
  <c r="E32" i="24"/>
  <c r="J37" i="24"/>
  <c r="L37" i="24"/>
  <c r="K32" i="24"/>
  <c r="M32" i="24"/>
  <c r="G37" i="24"/>
  <c r="H37" i="24"/>
  <c r="H32" i="24"/>
  <c r="L32" i="24"/>
  <c r="F32" i="24"/>
  <c r="U29" i="24"/>
  <c r="U34" i="24" s="1"/>
  <c r="F37" i="24"/>
  <c r="K37" i="24"/>
  <c r="G32" i="24"/>
  <c r="R29" i="24"/>
  <c r="R34" i="24" s="1"/>
  <c r="S29" i="24"/>
  <c r="S34" i="24" s="1"/>
  <c r="D34" i="24"/>
  <c r="V37" i="24" l="1"/>
  <c r="R37" i="24"/>
  <c r="P37" i="24"/>
  <c r="V32" i="24"/>
  <c r="N32" i="24"/>
  <c r="P32" i="24"/>
  <c r="N37" i="24"/>
  <c r="Z37" i="24"/>
  <c r="X37" i="24"/>
  <c r="Q37" i="24"/>
  <c r="S32" i="24"/>
  <c r="Q32" i="24"/>
  <c r="S37" i="24"/>
  <c r="W32" i="24"/>
  <c r="AK29" i="24"/>
  <c r="AK34" i="24" s="1"/>
  <c r="AG29" i="24"/>
  <c r="AG34" i="24" s="1"/>
  <c r="AF29" i="24"/>
  <c r="AF34" i="24" s="1"/>
  <c r="AA29" i="24"/>
  <c r="AA34" i="24" s="1"/>
  <c r="Z29" i="24"/>
  <c r="Z34" i="24" s="1"/>
  <c r="Y29" i="24"/>
  <c r="Y34" i="24" s="1"/>
  <c r="H75" i="23"/>
  <c r="H72" i="22"/>
  <c r="H74" i="22"/>
  <c r="H73" i="22"/>
  <c r="X32" i="24"/>
  <c r="R32" i="24"/>
  <c r="AB37" i="24"/>
  <c r="X29" i="24"/>
  <c r="X34" i="24" s="1"/>
  <c r="AD32" i="24"/>
  <c r="W37" i="24"/>
  <c r="AG32" i="24"/>
  <c r="U32" i="24"/>
  <c r="U37" i="24"/>
  <c r="T32" i="24"/>
  <c r="T37" i="24"/>
  <c r="Z32" i="24"/>
  <c r="O37" i="24"/>
  <c r="O32" i="24"/>
  <c r="AA32" i="24"/>
  <c r="AA37" i="24"/>
  <c r="AE29" i="24"/>
  <c r="AE34" i="24" s="1"/>
  <c r="AP37" i="24"/>
  <c r="AP32" i="24"/>
  <c r="Y37" i="24"/>
  <c r="Y32" i="24"/>
  <c r="AC32" i="24"/>
  <c r="AC37" i="24"/>
  <c r="AM32" i="24"/>
  <c r="AM37" i="24"/>
  <c r="AF32" i="24"/>
  <c r="AF37" i="24"/>
  <c r="AC29" i="24"/>
  <c r="AC34" i="24" s="1"/>
  <c r="AB29" i="24"/>
  <c r="AB34" i="24" s="1"/>
  <c r="H77" i="20"/>
  <c r="H76" i="23"/>
  <c r="H76" i="20"/>
  <c r="H77" i="23"/>
  <c r="H75" i="20"/>
  <c r="H89" i="23"/>
  <c r="J3" i="23"/>
  <c r="H81" i="22"/>
  <c r="J3" i="22"/>
  <c r="H72" i="19"/>
  <c r="H89" i="20"/>
  <c r="J39" i="22" l="1"/>
  <c r="J38" i="22"/>
  <c r="J37" i="22"/>
  <c r="J36" i="22"/>
  <c r="J41" i="22"/>
  <c r="J40" i="22"/>
  <c r="J4" i="23"/>
  <c r="J35" i="23"/>
  <c r="J41" i="23" s="1"/>
  <c r="J4" i="22"/>
  <c r="J35" i="22"/>
  <c r="AN29" i="24"/>
  <c r="AN34" i="24" s="1"/>
  <c r="AO29" i="24"/>
  <c r="AO34" i="24" s="1"/>
  <c r="AH29" i="24"/>
  <c r="AH34" i="24" s="1"/>
  <c r="AO37" i="24"/>
  <c r="AQ29" i="24"/>
  <c r="AQ34" i="24" s="1"/>
  <c r="AL29" i="24"/>
  <c r="AL34" i="24" s="1"/>
  <c r="AM29" i="24"/>
  <c r="AM34" i="24" s="1"/>
  <c r="AK37" i="24"/>
  <c r="AJ29" i="24"/>
  <c r="AJ34" i="24" s="1"/>
  <c r="AP29" i="24"/>
  <c r="AP34" i="24" s="1"/>
  <c r="AI29" i="24"/>
  <c r="AI34" i="24" s="1"/>
  <c r="AH32" i="24"/>
  <c r="AB32" i="24"/>
  <c r="AH37" i="24"/>
  <c r="AG37" i="24"/>
  <c r="AO32" i="24"/>
  <c r="AK32" i="24"/>
  <c r="AD37" i="24"/>
  <c r="AE32" i="24"/>
  <c r="AE37" i="24"/>
  <c r="AJ32" i="24"/>
  <c r="AJ37" i="24"/>
  <c r="AW32" i="24"/>
  <c r="AW37" i="24"/>
  <c r="AI32" i="24"/>
  <c r="AI37" i="24"/>
  <c r="AZ32" i="24"/>
  <c r="AZ37" i="24"/>
  <c r="J29" i="22"/>
  <c r="J38" i="23" l="1"/>
  <c r="J37" i="23"/>
  <c r="J39" i="23"/>
  <c r="J40" i="23"/>
  <c r="J36" i="23"/>
  <c r="AR32" i="24"/>
  <c r="AL37" i="24"/>
  <c r="AL32" i="24"/>
  <c r="AV32" i="24"/>
  <c r="AQ32" i="24"/>
  <c r="AQ37" i="24"/>
  <c r="AX32" i="24"/>
  <c r="AN37" i="24"/>
  <c r="AN32" i="24"/>
  <c r="AT37" i="24"/>
  <c r="BG32" i="24"/>
  <c r="BG37" i="24"/>
  <c r="BJ32" i="24"/>
  <c r="BJ37" i="24"/>
  <c r="BA29" i="24"/>
  <c r="BA34" i="24" s="1"/>
  <c r="AT29" i="24"/>
  <c r="AT34" i="24" s="1"/>
  <c r="AS29" i="24"/>
  <c r="AS34" i="24" s="1"/>
  <c r="AX29" i="24"/>
  <c r="AX34" i="24" s="1"/>
  <c r="AU29" i="24"/>
  <c r="AU34" i="24" s="1"/>
  <c r="BH29" i="24" l="1"/>
  <c r="BH34" i="24" s="1"/>
  <c r="AZ29" i="24"/>
  <c r="AZ34" i="24" s="1"/>
  <c r="BE29" i="24"/>
  <c r="BE34" i="24" s="1"/>
  <c r="BD29" i="24"/>
  <c r="BD34" i="24" s="1"/>
  <c r="AR37" i="24"/>
  <c r="BB32" i="24"/>
  <c r="AV37" i="24"/>
  <c r="AR29" i="24"/>
  <c r="AR34" i="24" s="1"/>
  <c r="AY37" i="24"/>
  <c r="AY32" i="24"/>
  <c r="AU32" i="24"/>
  <c r="AU37" i="24"/>
  <c r="AX37" i="24"/>
  <c r="BH32" i="24"/>
  <c r="AT32" i="24"/>
  <c r="BD32" i="24"/>
  <c r="AY29" i="24"/>
  <c r="AY34" i="24" s="1"/>
  <c r="BQ32" i="24"/>
  <c r="BQ37" i="24"/>
  <c r="BE37" i="24"/>
  <c r="BE32" i="24"/>
  <c r="BA32" i="24"/>
  <c r="BA37" i="24"/>
  <c r="BT32" i="24"/>
  <c r="BT37" i="24"/>
  <c r="AS32" i="24"/>
  <c r="AS37" i="24"/>
  <c r="BK29" i="24"/>
  <c r="BK34" i="24" s="1"/>
  <c r="AV29" i="24"/>
  <c r="AV34" i="24" s="1"/>
  <c r="AW29" i="24"/>
  <c r="AW34" i="24" s="1"/>
  <c r="BC29" i="24"/>
  <c r="BC34" i="24" s="1"/>
  <c r="BJ29" i="24" l="1"/>
  <c r="BJ34" i="24" s="1"/>
  <c r="BO29" i="24"/>
  <c r="BO34" i="24" s="1"/>
  <c r="BN29" i="24"/>
  <c r="BN34" i="24" s="1"/>
  <c r="BM29" i="24"/>
  <c r="BM34" i="24" s="1"/>
  <c r="BB37" i="24"/>
  <c r="BF37" i="24"/>
  <c r="BF32" i="24"/>
  <c r="BB29" i="24"/>
  <c r="BB34" i="24" s="1"/>
  <c r="BS37" i="24"/>
  <c r="BI37" i="24"/>
  <c r="BI32" i="24"/>
  <c r="BH37" i="24"/>
  <c r="BD37" i="24"/>
  <c r="BI29" i="24"/>
  <c r="BI34" i="24" s="1"/>
  <c r="CD32" i="24"/>
  <c r="CD37" i="24"/>
  <c r="CA37" i="24"/>
  <c r="CA32" i="24"/>
  <c r="BC37" i="24"/>
  <c r="BC32" i="24"/>
  <c r="BK37" i="24"/>
  <c r="BK32" i="24"/>
  <c r="BO37" i="24"/>
  <c r="BO32" i="24"/>
  <c r="BG29" i="24"/>
  <c r="BG34" i="24" s="1"/>
  <c r="BU29" i="24"/>
  <c r="BU34" i="24" s="1"/>
  <c r="BR29" i="24"/>
  <c r="BR34" i="24" s="1"/>
  <c r="BF29" i="24"/>
  <c r="BF34" i="24" s="1"/>
  <c r="BT29" i="24" l="1"/>
  <c r="BT34" i="24" s="1"/>
  <c r="BY29" i="24"/>
  <c r="BY34" i="24" s="1"/>
  <c r="BQ29" i="24"/>
  <c r="BQ34" i="24" s="1"/>
  <c r="BL29" i="24"/>
  <c r="BL34" i="24" s="1"/>
  <c r="BP29" i="24"/>
  <c r="BP34" i="24" s="1"/>
  <c r="BL37" i="24"/>
  <c r="BX29" i="24"/>
  <c r="BX34" i="24" s="1"/>
  <c r="BW29" i="24"/>
  <c r="BW34" i="24" s="1"/>
  <c r="BL32" i="24"/>
  <c r="BP32" i="24"/>
  <c r="BP37" i="24"/>
  <c r="BR32" i="24"/>
  <c r="CC37" i="24"/>
  <c r="CB37" i="24"/>
  <c r="BR37" i="24"/>
  <c r="BS32" i="24"/>
  <c r="BX37" i="24"/>
  <c r="BN32" i="24"/>
  <c r="BN37" i="24"/>
  <c r="BS29" i="24"/>
  <c r="BS34" i="24" s="1"/>
  <c r="BZ32" i="24"/>
  <c r="BZ37" i="24"/>
  <c r="BV32" i="24"/>
  <c r="BV37" i="24"/>
  <c r="BM32" i="24"/>
  <c r="BM37" i="24"/>
  <c r="BU32" i="24"/>
  <c r="BU37" i="24"/>
  <c r="BY32" i="24"/>
  <c r="BY37" i="24"/>
  <c r="CE29" i="24"/>
  <c r="CE34" i="24" s="1"/>
  <c r="CB29" i="24"/>
  <c r="CB34" i="24" s="1"/>
  <c r="H70" i="21"/>
  <c r="CD29" i="24" l="1"/>
  <c r="CD34" i="24" s="1"/>
  <c r="BV29" i="24"/>
  <c r="BV34" i="24" s="1"/>
  <c r="BZ29" i="24"/>
  <c r="BZ34" i="24" s="1"/>
  <c r="CC32" i="24"/>
  <c r="CB32" i="24"/>
  <c r="BX32" i="24"/>
  <c r="CC29" i="24"/>
  <c r="CC34" i="24" s="1"/>
  <c r="BW32" i="24"/>
  <c r="BW37" i="24"/>
  <c r="CE32" i="24"/>
  <c r="CE37" i="24"/>
  <c r="CA29" i="24"/>
  <c r="CA34" i="24" s="1"/>
  <c r="F24" i="1"/>
  <c r="G24" i="1"/>
  <c r="H24" i="1"/>
  <c r="I24" i="1"/>
  <c r="J24" i="1"/>
  <c r="C59" i="16" l="1"/>
  <c r="J7" i="1" s="1"/>
  <c r="D41" i="16"/>
  <c r="E41" i="16"/>
  <c r="F41" i="16"/>
  <c r="G41" i="16"/>
  <c r="H41" i="16"/>
  <c r="C41" i="16"/>
  <c r="J27" i="23" l="1"/>
  <c r="J27" i="22"/>
  <c r="H75" i="21"/>
  <c r="J3" i="21"/>
  <c r="J3" i="20"/>
  <c r="H66" i="19"/>
  <c r="J35" i="20" l="1"/>
  <c r="J41" i="20" s="1"/>
  <c r="J4" i="20"/>
  <c r="J29" i="20"/>
  <c r="J4" i="21"/>
  <c r="J35" i="21"/>
  <c r="J37" i="21" s="1"/>
  <c r="J27" i="21"/>
  <c r="J27" i="20"/>
  <c r="J36" i="20" l="1"/>
  <c r="J37" i="20"/>
  <c r="J38" i="20"/>
  <c r="J39" i="20"/>
  <c r="J40" i="20"/>
  <c r="J36" i="21"/>
  <c r="J41" i="21"/>
  <c r="J39" i="21"/>
  <c r="J38" i="21"/>
  <c r="J40" i="21"/>
  <c r="H71" i="22" l="1"/>
  <c r="H70" i="22"/>
  <c r="H74" i="20"/>
  <c r="H74" i="23"/>
  <c r="H73" i="20"/>
  <c r="H73" i="23"/>
  <c r="J3" i="19"/>
  <c r="D46" i="16"/>
  <c r="E46" i="16"/>
  <c r="F46" i="16"/>
  <c r="G46" i="16"/>
  <c r="H46" i="16"/>
  <c r="C46" i="16"/>
  <c r="J32" i="20" s="1"/>
  <c r="D29" i="16"/>
  <c r="E29" i="16"/>
  <c r="F29" i="16"/>
  <c r="G29" i="16"/>
  <c r="H29" i="16"/>
  <c r="C29" i="16"/>
  <c r="J15" i="22" s="1"/>
  <c r="J4" i="19" l="1"/>
  <c r="J35" i="19"/>
  <c r="J37" i="19" s="1"/>
  <c r="J32" i="23"/>
  <c r="J32" i="22"/>
  <c r="J77" i="22" s="1"/>
  <c r="J15" i="23"/>
  <c r="J32" i="21"/>
  <c r="J15" i="20"/>
  <c r="J15" i="21"/>
  <c r="J27" i="19"/>
  <c r="J29" i="19"/>
  <c r="J15" i="19"/>
  <c r="J32" i="19"/>
  <c r="J40" i="19" l="1"/>
  <c r="J39" i="19"/>
  <c r="J41" i="19"/>
  <c r="J36" i="19"/>
  <c r="J38" i="19"/>
  <c r="D33" i="16"/>
  <c r="E33" i="16"/>
  <c r="F33" i="16"/>
  <c r="G33" i="16"/>
  <c r="H33" i="16"/>
  <c r="D37" i="16"/>
  <c r="E37" i="16"/>
  <c r="F37" i="16"/>
  <c r="G37" i="16"/>
  <c r="H37" i="16"/>
  <c r="D42" i="16"/>
  <c r="E42" i="16"/>
  <c r="F42" i="16"/>
  <c r="G42" i="16"/>
  <c r="H42" i="16"/>
  <c r="D43" i="16"/>
  <c r="E43" i="16"/>
  <c r="E45" i="16" s="1"/>
  <c r="F43" i="16"/>
  <c r="F45" i="16" s="1"/>
  <c r="G43" i="16"/>
  <c r="H43" i="16"/>
  <c r="D25" i="16"/>
  <c r="E25" i="16"/>
  <c r="F25" i="16"/>
  <c r="G25" i="16"/>
  <c r="H25" i="16"/>
  <c r="C25" i="16"/>
  <c r="J5" i="22" s="1"/>
  <c r="C33" i="16"/>
  <c r="C37" i="16"/>
  <c r="J23" i="22" s="1"/>
  <c r="J29" i="23"/>
  <c r="C42" i="16"/>
  <c r="J28" i="20" s="1"/>
  <c r="E24" i="1"/>
  <c r="J19" i="19" l="1"/>
  <c r="J19" i="22"/>
  <c r="J28" i="19"/>
  <c r="J28" i="22"/>
  <c r="J23" i="23"/>
  <c r="J23" i="19"/>
  <c r="J5" i="23"/>
  <c r="J5" i="19"/>
  <c r="G38" i="16"/>
  <c r="G34" i="16" s="1"/>
  <c r="G30" i="16" s="1"/>
  <c r="G26" i="16" s="1"/>
  <c r="J28" i="23"/>
  <c r="C38" i="16"/>
  <c r="H38" i="16"/>
  <c r="H34" i="16" s="1"/>
  <c r="H30" i="16" s="1"/>
  <c r="H26" i="16" s="1"/>
  <c r="F38" i="16"/>
  <c r="F34" i="16" s="1"/>
  <c r="F30" i="16" s="1"/>
  <c r="F26" i="16" s="1"/>
  <c r="E38" i="16"/>
  <c r="E34" i="16" s="1"/>
  <c r="E30" i="16" s="1"/>
  <c r="E26" i="16" s="1"/>
  <c r="D38" i="16"/>
  <c r="D34" i="16" s="1"/>
  <c r="D30" i="16" s="1"/>
  <c r="D26" i="16" s="1"/>
  <c r="J19" i="23"/>
  <c r="J19" i="21"/>
  <c r="J28" i="21"/>
  <c r="J23" i="21"/>
  <c r="J23" i="20"/>
  <c r="J19" i="20"/>
  <c r="J5" i="20"/>
  <c r="J5" i="21"/>
  <c r="G44" i="16"/>
  <c r="D45" i="16"/>
  <c r="C44" i="16"/>
  <c r="J29" i="21"/>
  <c r="G45" i="16"/>
  <c r="H44" i="16"/>
  <c r="C45" i="16"/>
  <c r="F44" i="16"/>
  <c r="H45" i="16"/>
  <c r="E44" i="16"/>
  <c r="D44" i="16"/>
  <c r="S13" i="1" a="1"/>
  <c r="R13" i="1" a="1"/>
  <c r="Q13" i="1" a="1"/>
  <c r="J31" i="22" l="1"/>
  <c r="J31" i="20"/>
  <c r="J30" i="22"/>
  <c r="K77" i="22" s="1"/>
  <c r="J47" i="22" s="1"/>
  <c r="J30" i="20"/>
  <c r="J24" i="23"/>
  <c r="J24" i="22"/>
  <c r="G39" i="16"/>
  <c r="J30" i="23"/>
  <c r="J30" i="19"/>
  <c r="J31" i="23"/>
  <c r="J31" i="19"/>
  <c r="C34" i="16"/>
  <c r="J24" i="19"/>
  <c r="H39" i="16"/>
  <c r="S13" i="1"/>
  <c r="R13" i="1"/>
  <c r="Q13" i="1"/>
  <c r="G40" i="16"/>
  <c r="H40" i="16"/>
  <c r="C40" i="16"/>
  <c r="J26" i="22" s="1"/>
  <c r="J24" i="20"/>
  <c r="J24" i="21"/>
  <c r="D40" i="16"/>
  <c r="J30" i="21"/>
  <c r="J31" i="21"/>
  <c r="D39" i="16"/>
  <c r="E39" i="16"/>
  <c r="E40" i="16"/>
  <c r="F40" i="16"/>
  <c r="F39" i="16"/>
  <c r="C39" i="16"/>
  <c r="J25" i="22" s="1"/>
  <c r="C30" i="16" l="1"/>
  <c r="J16" i="22" s="1"/>
  <c r="J20" i="22"/>
  <c r="J26" i="23"/>
  <c r="J26" i="19"/>
  <c r="J20" i="19"/>
  <c r="J25" i="23"/>
  <c r="J25" i="19"/>
  <c r="J16" i="19"/>
  <c r="J20" i="23"/>
  <c r="J20" i="21"/>
  <c r="D36" i="16"/>
  <c r="G36" i="16"/>
  <c r="G35" i="16"/>
  <c r="D35" i="16"/>
  <c r="J26" i="21"/>
  <c r="J72" i="21" s="1"/>
  <c r="J26" i="20"/>
  <c r="J20" i="20"/>
  <c r="J25" i="21"/>
  <c r="J71" i="21" s="1"/>
  <c r="K71" i="21" s="1"/>
  <c r="J47" i="21" s="1"/>
  <c r="J25" i="20"/>
  <c r="H36" i="16"/>
  <c r="H35" i="16"/>
  <c r="E36" i="16"/>
  <c r="E35" i="16"/>
  <c r="H32" i="16"/>
  <c r="H31" i="16"/>
  <c r="F35" i="16"/>
  <c r="F36" i="16"/>
  <c r="C36" i="16"/>
  <c r="C35" i="16"/>
  <c r="J16" i="23" l="1"/>
  <c r="L71" i="21"/>
  <c r="J58" i="21" s="1"/>
  <c r="L72" i="21"/>
  <c r="K72" i="21"/>
  <c r="C26" i="16"/>
  <c r="J6" i="22" s="1"/>
  <c r="J21" i="19"/>
  <c r="J21" i="22"/>
  <c r="J6" i="19"/>
  <c r="J22" i="19"/>
  <c r="J22" i="22"/>
  <c r="J78" i="22" s="1"/>
  <c r="K78" i="22" s="1"/>
  <c r="C66" i="16"/>
  <c r="C68" i="16" s="1"/>
  <c r="C72" i="16" s="1"/>
  <c r="E66" i="16"/>
  <c r="J21" i="23"/>
  <c r="J85" i="23" s="1"/>
  <c r="J21" i="21"/>
  <c r="J22" i="23"/>
  <c r="J22" i="21"/>
  <c r="D32" i="16"/>
  <c r="D31" i="16"/>
  <c r="G32" i="16"/>
  <c r="D28" i="16"/>
  <c r="G31" i="16"/>
  <c r="J16" i="21"/>
  <c r="J16" i="20"/>
  <c r="J22" i="20"/>
  <c r="J86" i="20" s="1"/>
  <c r="K86" i="20" s="1"/>
  <c r="J21" i="20"/>
  <c r="J85" i="20" s="1"/>
  <c r="K85" i="20" s="1"/>
  <c r="J47" i="20" s="1"/>
  <c r="H27" i="16"/>
  <c r="H28" i="16"/>
  <c r="G27" i="16"/>
  <c r="G28" i="16"/>
  <c r="F32" i="16"/>
  <c r="F31" i="16"/>
  <c r="E31" i="16"/>
  <c r="E32" i="16"/>
  <c r="C32" i="16"/>
  <c r="J18" i="22" s="1"/>
  <c r="C31" i="16"/>
  <c r="J17" i="22" s="1"/>
  <c r="L85" i="23" l="1"/>
  <c r="K85" i="23"/>
  <c r="J47" i="23" s="1"/>
  <c r="J67" i="19"/>
  <c r="K67" i="19" s="1"/>
  <c r="J68" i="19"/>
  <c r="K68" i="19" s="1"/>
  <c r="J47" i="19" s="1"/>
  <c r="I66" i="16"/>
  <c r="L8" i="1" s="1"/>
  <c r="E68" i="16"/>
  <c r="E72" i="16" s="1"/>
  <c r="L78" i="22"/>
  <c r="J69" i="19"/>
  <c r="K69" i="19" s="1"/>
  <c r="J18" i="23"/>
  <c r="J18" i="19"/>
  <c r="J17" i="23"/>
  <c r="J17" i="19"/>
  <c r="J86" i="23"/>
  <c r="J6" i="23"/>
  <c r="C28" i="16"/>
  <c r="D27" i="16"/>
  <c r="H70" i="23"/>
  <c r="H69" i="23"/>
  <c r="H69" i="20"/>
  <c r="H70" i="20"/>
  <c r="J18" i="21"/>
  <c r="J69" i="21" s="1"/>
  <c r="J18" i="20"/>
  <c r="J6" i="21"/>
  <c r="J6" i="20"/>
  <c r="J17" i="21"/>
  <c r="J17" i="20"/>
  <c r="E28" i="16"/>
  <c r="E27" i="16"/>
  <c r="F28" i="16"/>
  <c r="F27" i="16"/>
  <c r="C27" i="16"/>
  <c r="J7" i="22" s="1"/>
  <c r="L68" i="19" l="1"/>
  <c r="J58" i="19" s="1"/>
  <c r="L67" i="19"/>
  <c r="C47" i="16"/>
  <c r="J33" i="23" s="1"/>
  <c r="BZ33" i="24"/>
  <c r="BR33" i="24"/>
  <c r="BJ33" i="24"/>
  <c r="BB33" i="24"/>
  <c r="AT33" i="24"/>
  <c r="AL33" i="24"/>
  <c r="AD33" i="24"/>
  <c r="V33" i="24"/>
  <c r="N33" i="24"/>
  <c r="F33" i="24"/>
  <c r="BY33" i="24"/>
  <c r="BI33" i="24"/>
  <c r="AS33" i="24"/>
  <c r="U33" i="24"/>
  <c r="AY33" i="24"/>
  <c r="BX33" i="24"/>
  <c r="BP33" i="24"/>
  <c r="BH33" i="24"/>
  <c r="AZ33" i="24"/>
  <c r="AR33" i="24"/>
  <c r="AJ33" i="24"/>
  <c r="AB33" i="24"/>
  <c r="T33" i="24"/>
  <c r="L33" i="24"/>
  <c r="D33" i="24"/>
  <c r="CE33" i="24"/>
  <c r="BW33" i="24"/>
  <c r="BO33" i="24"/>
  <c r="BG33" i="24"/>
  <c r="AQ33" i="24"/>
  <c r="K33" i="24"/>
  <c r="CD33" i="24"/>
  <c r="BV33" i="24"/>
  <c r="BN33" i="24"/>
  <c r="BF33" i="24"/>
  <c r="AX33" i="24"/>
  <c r="AP33" i="24"/>
  <c r="AH33" i="24"/>
  <c r="Z33" i="24"/>
  <c r="R33" i="24"/>
  <c r="J33" i="24"/>
  <c r="BU33" i="24"/>
  <c r="BM33" i="24"/>
  <c r="BE33" i="24"/>
  <c r="AO33" i="24"/>
  <c r="AG33" i="24"/>
  <c r="Q33" i="24"/>
  <c r="CC33" i="24"/>
  <c r="AW33" i="24"/>
  <c r="Y33" i="24"/>
  <c r="I33" i="24"/>
  <c r="AI33" i="24"/>
  <c r="CB33" i="24"/>
  <c r="BT33" i="24"/>
  <c r="BL33" i="24"/>
  <c r="BD33" i="24"/>
  <c r="AV33" i="24"/>
  <c r="AN33" i="24"/>
  <c r="AF33" i="24"/>
  <c r="X33" i="24"/>
  <c r="P33" i="24"/>
  <c r="H33" i="24"/>
  <c r="AK33" i="24"/>
  <c r="M33" i="24"/>
  <c r="AA33" i="24"/>
  <c r="CA33" i="24"/>
  <c r="BS33" i="24"/>
  <c r="BK33" i="24"/>
  <c r="BC33" i="24"/>
  <c r="AU33" i="24"/>
  <c r="AM33" i="24"/>
  <c r="AE33" i="24"/>
  <c r="W33" i="24"/>
  <c r="O33" i="24"/>
  <c r="G33" i="24"/>
  <c r="BQ33" i="24"/>
  <c r="BA33" i="24"/>
  <c r="AC33" i="24"/>
  <c r="E33" i="24"/>
  <c r="S33" i="24"/>
  <c r="L86" i="23"/>
  <c r="K86" i="23"/>
  <c r="K69" i="21"/>
  <c r="J70" i="21"/>
  <c r="K70" i="21" s="1"/>
  <c r="L77" i="22"/>
  <c r="J58" i="22" s="1"/>
  <c r="L69" i="21"/>
  <c r="J56" i="21" s="1"/>
  <c r="L69" i="19"/>
  <c r="C48" i="16"/>
  <c r="J34" i="23" s="1"/>
  <c r="J89" i="23" s="1"/>
  <c r="K89" i="23" s="1"/>
  <c r="D47" i="16"/>
  <c r="F47" i="16"/>
  <c r="E47" i="16"/>
  <c r="J33" i="22"/>
  <c r="H47" i="16"/>
  <c r="G47" i="16"/>
  <c r="J8" i="19"/>
  <c r="J8" i="22"/>
  <c r="J34" i="19"/>
  <c r="J58" i="23"/>
  <c r="J8" i="23"/>
  <c r="J33" i="19"/>
  <c r="J7" i="23"/>
  <c r="J7" i="19"/>
  <c r="L85" i="20"/>
  <c r="J58" i="20" s="1"/>
  <c r="J7" i="20"/>
  <c r="J7" i="21"/>
  <c r="L86" i="20"/>
  <c r="J8" i="20"/>
  <c r="J8" i="21"/>
  <c r="J65" i="21" s="1"/>
  <c r="L65" i="21" l="1"/>
  <c r="K65" i="21"/>
  <c r="J66" i="21"/>
  <c r="K66" i="21" s="1"/>
  <c r="J64" i="21"/>
  <c r="K64" i="21" s="1"/>
  <c r="J68" i="21"/>
  <c r="K68" i="21" s="1"/>
  <c r="J67" i="21"/>
  <c r="J34" i="21"/>
  <c r="J75" i="21" s="1"/>
  <c r="K75" i="21" s="1"/>
  <c r="J34" i="20"/>
  <c r="J89" i="20" s="1"/>
  <c r="J33" i="21"/>
  <c r="J33" i="20"/>
  <c r="AC35" i="24"/>
  <c r="AC36" i="24"/>
  <c r="AU36" i="24"/>
  <c r="AU35" i="24"/>
  <c r="AG35" i="24"/>
  <c r="AG36" i="24"/>
  <c r="AB36" i="24"/>
  <c r="AB35" i="24"/>
  <c r="S35" i="24"/>
  <c r="S36" i="24"/>
  <c r="AE35" i="24"/>
  <c r="AE36" i="24"/>
  <c r="M35" i="24"/>
  <c r="M36" i="24"/>
  <c r="BD36" i="24"/>
  <c r="BD35" i="24"/>
  <c r="CC36" i="24"/>
  <c r="CC35" i="24"/>
  <c r="R36" i="24"/>
  <c r="R35" i="24"/>
  <c r="CD35" i="24"/>
  <c r="CD36" i="24"/>
  <c r="L36" i="24"/>
  <c r="L35" i="24"/>
  <c r="BX36" i="24"/>
  <c r="BX35" i="24"/>
  <c r="V35" i="24"/>
  <c r="V36" i="24"/>
  <c r="H36" i="24"/>
  <c r="H35" i="24"/>
  <c r="AH36" i="24"/>
  <c r="AH35" i="24"/>
  <c r="AL36" i="24"/>
  <c r="AL35" i="24"/>
  <c r="E36" i="24"/>
  <c r="E35" i="24"/>
  <c r="AM35" i="24"/>
  <c r="AM36" i="24"/>
  <c r="AK36" i="24"/>
  <c r="AK35" i="24"/>
  <c r="BL36" i="24"/>
  <c r="BL35" i="24"/>
  <c r="Q35" i="24"/>
  <c r="Q36" i="24"/>
  <c r="Z36" i="24"/>
  <c r="Z35" i="24"/>
  <c r="K36" i="24"/>
  <c r="K35" i="24"/>
  <c r="T35" i="24"/>
  <c r="T36" i="24"/>
  <c r="AY35" i="24"/>
  <c r="AY36" i="24"/>
  <c r="AD35" i="24"/>
  <c r="AD36" i="24"/>
  <c r="BA35" i="24"/>
  <c r="BA36" i="24"/>
  <c r="BC36" i="24"/>
  <c r="BC35" i="24"/>
  <c r="P35" i="24"/>
  <c r="P36" i="24"/>
  <c r="CB35" i="24"/>
  <c r="CB36" i="24"/>
  <c r="AO36" i="24"/>
  <c r="AO35" i="24"/>
  <c r="AP36" i="24"/>
  <c r="AP35" i="24"/>
  <c r="BG35" i="24"/>
  <c r="BG36" i="24"/>
  <c r="AJ36" i="24"/>
  <c r="AJ35" i="24"/>
  <c r="AS35" i="24"/>
  <c r="AS36" i="24"/>
  <c r="AT36" i="24"/>
  <c r="AT35" i="24"/>
  <c r="BQ35" i="24"/>
  <c r="BQ36" i="24"/>
  <c r="BK35" i="24"/>
  <c r="BK36" i="24"/>
  <c r="X36" i="24"/>
  <c r="X35" i="24"/>
  <c r="AI35" i="24"/>
  <c r="AI36" i="24"/>
  <c r="BE36" i="24"/>
  <c r="BE35" i="24"/>
  <c r="AX35" i="24"/>
  <c r="AX36" i="24"/>
  <c r="BO35" i="24"/>
  <c r="BO36" i="24"/>
  <c r="AR36" i="24"/>
  <c r="AR35" i="24"/>
  <c r="BI36" i="24"/>
  <c r="BI35" i="24"/>
  <c r="BB36" i="24"/>
  <c r="BB35" i="24"/>
  <c r="BT36" i="24"/>
  <c r="BT35" i="24"/>
  <c r="AQ36" i="24"/>
  <c r="AQ35" i="24"/>
  <c r="U35" i="24"/>
  <c r="U36" i="24"/>
  <c r="G36" i="24"/>
  <c r="G35" i="24"/>
  <c r="BS36" i="24"/>
  <c r="BS35" i="24"/>
  <c r="AF35" i="24"/>
  <c r="AF36" i="24"/>
  <c r="I36" i="24"/>
  <c r="I35" i="24"/>
  <c r="BM36" i="24"/>
  <c r="BM35" i="24"/>
  <c r="BF36" i="24"/>
  <c r="BF35" i="24"/>
  <c r="BW36" i="24"/>
  <c r="BW35" i="24"/>
  <c r="AZ35" i="24"/>
  <c r="AZ36" i="24"/>
  <c r="BY36" i="24"/>
  <c r="BY35" i="24"/>
  <c r="BJ35" i="24"/>
  <c r="BJ36" i="24"/>
  <c r="O36" i="24"/>
  <c r="O35" i="24"/>
  <c r="CA35" i="24"/>
  <c r="CA36" i="24"/>
  <c r="AN36" i="24"/>
  <c r="AN35" i="24"/>
  <c r="Y36" i="24"/>
  <c r="Y35" i="24"/>
  <c r="BU35" i="24"/>
  <c r="BU36" i="24"/>
  <c r="BN36" i="24"/>
  <c r="BN35" i="24"/>
  <c r="CE35" i="24"/>
  <c r="CE36" i="24"/>
  <c r="BH36" i="24"/>
  <c r="BH35" i="24"/>
  <c r="F36" i="24"/>
  <c r="F35" i="24"/>
  <c r="BR35" i="24"/>
  <c r="BR36" i="24"/>
  <c r="W36" i="24"/>
  <c r="W35" i="24"/>
  <c r="AA35" i="24"/>
  <c r="AA36" i="24"/>
  <c r="AV36" i="24"/>
  <c r="AV35" i="24"/>
  <c r="AW35" i="24"/>
  <c r="AW36" i="24"/>
  <c r="J36" i="24"/>
  <c r="J35" i="24"/>
  <c r="BV36" i="24"/>
  <c r="BV35" i="24"/>
  <c r="D36" i="24"/>
  <c r="D35" i="24"/>
  <c r="BP36" i="24"/>
  <c r="BP35" i="24"/>
  <c r="N35" i="24"/>
  <c r="N36" i="24"/>
  <c r="BZ36" i="24"/>
  <c r="BZ35" i="24"/>
  <c r="L89" i="23"/>
  <c r="B7" i="9"/>
  <c r="J34" i="22"/>
  <c r="J81" i="22" s="1"/>
  <c r="J87" i="23"/>
  <c r="J64" i="22"/>
  <c r="K64" i="22" s="1"/>
  <c r="J45" i="22" s="1"/>
  <c r="J72" i="19"/>
  <c r="J70" i="19"/>
  <c r="J65" i="19"/>
  <c r="J64" i="19"/>
  <c r="K64" i="19" s="1"/>
  <c r="J45" i="19" s="1"/>
  <c r="L70" i="21"/>
  <c r="G48" i="16"/>
  <c r="D48" i="16"/>
  <c r="H48" i="16"/>
  <c r="F48" i="16"/>
  <c r="E48" i="16"/>
  <c r="C50" i="6"/>
  <c r="L66" i="21" l="1"/>
  <c r="J45" i="21"/>
  <c r="K67" i="21"/>
  <c r="J46" i="21" s="1"/>
  <c r="L67" i="21"/>
  <c r="J87" i="20"/>
  <c r="K87" i="20" s="1"/>
  <c r="L75" i="21"/>
  <c r="J57" i="21" s="1"/>
  <c r="J73" i="21"/>
  <c r="J74" i="21" s="1"/>
  <c r="K74" i="21" s="1"/>
  <c r="AQ38" i="24"/>
  <c r="BK38" i="24"/>
  <c r="CB38" i="24"/>
  <c r="AI38" i="24"/>
  <c r="AT38" i="24"/>
  <c r="CD38" i="24"/>
  <c r="M38" i="24"/>
  <c r="AG38" i="24"/>
  <c r="K89" i="20"/>
  <c r="L89" i="20"/>
  <c r="AL38" i="24"/>
  <c r="BX38" i="24"/>
  <c r="BI38" i="24"/>
  <c r="BQ38" i="24"/>
  <c r="AY38" i="24"/>
  <c r="Q38" i="24"/>
  <c r="V38" i="24"/>
  <c r="S38" i="24"/>
  <c r="AC38" i="24"/>
  <c r="AE38" i="24"/>
  <c r="CC38" i="24"/>
  <c r="BT38" i="24"/>
  <c r="K38" i="24"/>
  <c r="AK38" i="24"/>
  <c r="J38" i="24"/>
  <c r="AN38" i="24"/>
  <c r="BZ38" i="24"/>
  <c r="BS38" i="24"/>
  <c r="AO38" i="24"/>
  <c r="BA38" i="24"/>
  <c r="AW38" i="24"/>
  <c r="BR38" i="24"/>
  <c r="AZ38" i="24"/>
  <c r="BY38" i="24"/>
  <c r="BH38" i="24"/>
  <c r="BJ38" i="24"/>
  <c r="D38" i="24"/>
  <c r="BU38" i="24"/>
  <c r="AF38" i="24"/>
  <c r="AD38" i="24"/>
  <c r="Y38" i="24"/>
  <c r="N38" i="24"/>
  <c r="W38" i="24"/>
  <c r="CE38" i="24"/>
  <c r="Z38" i="24"/>
  <c r="AM38" i="24"/>
  <c r="H38" i="24"/>
  <c r="R38" i="24"/>
  <c r="BN38" i="24"/>
  <c r="X38" i="24"/>
  <c r="AS38" i="24"/>
  <c r="T38" i="24"/>
  <c r="AV38" i="24"/>
  <c r="BF38" i="24"/>
  <c r="BL38" i="24"/>
  <c r="BG38" i="24"/>
  <c r="BP38" i="24"/>
  <c r="I38" i="24"/>
  <c r="BO38" i="24"/>
  <c r="AH38" i="24"/>
  <c r="U38" i="24"/>
  <c r="AX38" i="24"/>
  <c r="AP38" i="24"/>
  <c r="BD38" i="24"/>
  <c r="AA39" i="24"/>
  <c r="AA40" i="24"/>
  <c r="P40" i="24"/>
  <c r="P39" i="24"/>
  <c r="E39" i="24"/>
  <c r="E40" i="24"/>
  <c r="BZ40" i="24"/>
  <c r="BZ39" i="24"/>
  <c r="BJ39" i="24"/>
  <c r="BJ40" i="24"/>
  <c r="BT40" i="24"/>
  <c r="BT39" i="24"/>
  <c r="D40" i="24"/>
  <c r="D39" i="24"/>
  <c r="AW39" i="24"/>
  <c r="AW40" i="24"/>
  <c r="W40" i="24"/>
  <c r="W39" i="24"/>
  <c r="BH40" i="24"/>
  <c r="BH39" i="24"/>
  <c r="AJ38" i="24"/>
  <c r="AJ40" i="24"/>
  <c r="AJ39" i="24"/>
  <c r="AO40" i="24"/>
  <c r="AO39" i="24"/>
  <c r="AY40" i="24"/>
  <c r="AY39" i="24"/>
  <c r="Z40" i="24"/>
  <c r="Z39" i="24"/>
  <c r="H40" i="24"/>
  <c r="H39" i="24"/>
  <c r="CC40" i="24"/>
  <c r="CC39" i="24"/>
  <c r="AG39" i="24"/>
  <c r="AG40" i="24"/>
  <c r="AR38" i="24"/>
  <c r="AR40" i="24"/>
  <c r="AR39" i="24"/>
  <c r="BL40" i="24"/>
  <c r="BL39" i="24"/>
  <c r="CA38" i="24"/>
  <c r="BY39" i="24"/>
  <c r="BY40" i="24"/>
  <c r="BF39" i="24"/>
  <c r="BF40" i="24"/>
  <c r="BB38" i="24"/>
  <c r="BB40" i="24"/>
  <c r="BB39" i="24"/>
  <c r="AI40" i="24"/>
  <c r="AI39" i="24"/>
  <c r="BQ39" i="24"/>
  <c r="BQ40" i="24"/>
  <c r="AK40" i="24"/>
  <c r="AK39" i="24"/>
  <c r="AE40" i="24"/>
  <c r="AE39" i="24"/>
  <c r="AU38" i="24"/>
  <c r="AU39" i="24"/>
  <c r="AU40" i="24"/>
  <c r="G38" i="24"/>
  <c r="G39" i="24"/>
  <c r="G40" i="24"/>
  <c r="AS40" i="24"/>
  <c r="AS39" i="24"/>
  <c r="BV38" i="24"/>
  <c r="BV40" i="24"/>
  <c r="BV39" i="24"/>
  <c r="AV40" i="24"/>
  <c r="AV39" i="24"/>
  <c r="BU40" i="24"/>
  <c r="BU39" i="24"/>
  <c r="CA39" i="24"/>
  <c r="CA40" i="24"/>
  <c r="AF40" i="24"/>
  <c r="AF39" i="24"/>
  <c r="U39" i="24"/>
  <c r="U40" i="24"/>
  <c r="BO39" i="24"/>
  <c r="BO40" i="24"/>
  <c r="AL40" i="24"/>
  <c r="AL39" i="24"/>
  <c r="BK40" i="24"/>
  <c r="BK39" i="24"/>
  <c r="BC38" i="24"/>
  <c r="BC40" i="24"/>
  <c r="BC39" i="24"/>
  <c r="E38" i="24"/>
  <c r="M40" i="24"/>
  <c r="M39" i="24"/>
  <c r="N39" i="24"/>
  <c r="N40" i="24"/>
  <c r="O38" i="24"/>
  <c r="O39" i="24"/>
  <c r="O40" i="24"/>
  <c r="BM38" i="24"/>
  <c r="BM39" i="24"/>
  <c r="BM40" i="24"/>
  <c r="X39" i="24"/>
  <c r="X40" i="24"/>
  <c r="AT40" i="24"/>
  <c r="AT39" i="24"/>
  <c r="BG40" i="24"/>
  <c r="BG39" i="24"/>
  <c r="CB40" i="24"/>
  <c r="CB39" i="24"/>
  <c r="BA40" i="24"/>
  <c r="BA39" i="24"/>
  <c r="T39" i="24"/>
  <c r="T40" i="24"/>
  <c r="V40" i="24"/>
  <c r="V39" i="24"/>
  <c r="CD39" i="24"/>
  <c r="CD40" i="24"/>
  <c r="BD40" i="24"/>
  <c r="BD39" i="24"/>
  <c r="BW38" i="24"/>
  <c r="BW40" i="24"/>
  <c r="BW39" i="24"/>
  <c r="AN40" i="24"/>
  <c r="AN39" i="24"/>
  <c r="L38" i="24"/>
  <c r="L39" i="24"/>
  <c r="L40" i="24"/>
  <c r="AA38" i="24"/>
  <c r="BR39" i="24"/>
  <c r="BR40" i="24"/>
  <c r="CE40" i="24"/>
  <c r="CE39" i="24"/>
  <c r="Y40" i="24"/>
  <c r="Y39" i="24"/>
  <c r="BS40" i="24"/>
  <c r="BS39" i="24"/>
  <c r="AQ39" i="24"/>
  <c r="AQ40" i="24"/>
  <c r="BI40" i="24"/>
  <c r="BI39" i="24"/>
  <c r="AX40" i="24"/>
  <c r="AX39" i="24"/>
  <c r="P38" i="24"/>
  <c r="Q39" i="24"/>
  <c r="Q40" i="24"/>
  <c r="S40" i="24"/>
  <c r="S39" i="24"/>
  <c r="BN40" i="24"/>
  <c r="BN39" i="24"/>
  <c r="I40" i="24"/>
  <c r="I39" i="24"/>
  <c r="BP40" i="24"/>
  <c r="BP39" i="24"/>
  <c r="J40" i="24"/>
  <c r="J39" i="24"/>
  <c r="F38" i="24"/>
  <c r="F40" i="24"/>
  <c r="F39" i="24"/>
  <c r="AZ40" i="24"/>
  <c r="AZ39" i="24"/>
  <c r="BE38" i="24"/>
  <c r="BE40" i="24"/>
  <c r="BE39" i="24"/>
  <c r="AP40" i="24"/>
  <c r="AP39" i="24"/>
  <c r="AD40" i="24"/>
  <c r="AD39" i="24"/>
  <c r="K40" i="24"/>
  <c r="K39" i="24"/>
  <c r="AM40" i="24"/>
  <c r="AM39" i="24"/>
  <c r="AH40" i="24"/>
  <c r="AH39" i="24"/>
  <c r="BX40" i="24"/>
  <c r="BX39" i="24"/>
  <c r="R40" i="24"/>
  <c r="R39" i="24"/>
  <c r="AB38" i="24"/>
  <c r="AB39" i="24"/>
  <c r="AB40" i="24"/>
  <c r="AC40" i="24"/>
  <c r="AC39" i="24"/>
  <c r="L64" i="21"/>
  <c r="J71" i="19"/>
  <c r="K71" i="19" s="1"/>
  <c r="K70" i="19"/>
  <c r="J88" i="23"/>
  <c r="K88" i="23" s="1"/>
  <c r="K87" i="23"/>
  <c r="J66" i="19"/>
  <c r="K66" i="19" s="1"/>
  <c r="K65" i="19"/>
  <c r="L72" i="19"/>
  <c r="K72" i="19"/>
  <c r="L81" i="22"/>
  <c r="K81" i="22"/>
  <c r="J88" i="20"/>
  <c r="K88" i="20" s="1"/>
  <c r="C51" i="6"/>
  <c r="L64" i="19"/>
  <c r="J53" i="19" s="1"/>
  <c r="J79" i="22"/>
  <c r="L64" i="22"/>
  <c r="L68" i="21"/>
  <c r="L65" i="19"/>
  <c r="L87" i="23"/>
  <c r="L70" i="19"/>
  <c r="J53" i="21" l="1"/>
  <c r="L73" i="21"/>
  <c r="J54" i="21" s="1"/>
  <c r="J55" i="21" s="1"/>
  <c r="L87" i="20"/>
  <c r="K73" i="21"/>
  <c r="J48" i="21" s="1"/>
  <c r="AQ41" i="24"/>
  <c r="D47" i="24"/>
  <c r="J54" i="19"/>
  <c r="J55" i="19" s="1"/>
  <c r="J53" i="22"/>
  <c r="J87" i="22" s="1"/>
  <c r="K87" i="22" s="1"/>
  <c r="J46" i="19"/>
  <c r="D42" i="24"/>
  <c r="E41" i="24"/>
  <c r="BZ42" i="24"/>
  <c r="BO41" i="24"/>
  <c r="CD41" i="24"/>
  <c r="CC46" i="24"/>
  <c r="W47" i="24"/>
  <c r="W42" i="24"/>
  <c r="H47" i="24"/>
  <c r="AD41" i="24"/>
  <c r="AY47" i="24"/>
  <c r="BZ47" i="24"/>
  <c r="AY42" i="24"/>
  <c r="AW47" i="24"/>
  <c r="H42" i="24"/>
  <c r="H41" i="24"/>
  <c r="AA46" i="24"/>
  <c r="AG46" i="24"/>
  <c r="P41" i="24"/>
  <c r="AI46" i="24"/>
  <c r="J48" i="20"/>
  <c r="J48" i="23"/>
  <c r="D41" i="24"/>
  <c r="AM46" i="24"/>
  <c r="S41" i="24"/>
  <c r="BI42" i="24"/>
  <c r="M41" i="24"/>
  <c r="J48" i="19"/>
  <c r="G46" i="24"/>
  <c r="AR46" i="24"/>
  <c r="AS41" i="24"/>
  <c r="Y47" i="24"/>
  <c r="L41" i="24"/>
  <c r="T41" i="24"/>
  <c r="AT47" i="24"/>
  <c r="Z41" i="24"/>
  <c r="I46" i="24"/>
  <c r="AL47" i="24"/>
  <c r="CA46" i="24"/>
  <c r="AK47" i="24"/>
  <c r="BJ41" i="24"/>
  <c r="BN47" i="24"/>
  <c r="BU47" i="24"/>
  <c r="H46" i="24"/>
  <c r="BI41" i="24"/>
  <c r="AN46" i="24"/>
  <c r="BA41" i="24"/>
  <c r="N41" i="24"/>
  <c r="BY41" i="24"/>
  <c r="AM47" i="24"/>
  <c r="BE46" i="24"/>
  <c r="J46" i="24"/>
  <c r="AV41" i="24"/>
  <c r="AI42" i="24"/>
  <c r="Z46" i="24"/>
  <c r="CB47" i="24"/>
  <c r="BL46" i="24"/>
  <c r="Q47" i="24"/>
  <c r="BS47" i="24"/>
  <c r="V42" i="24"/>
  <c r="AI47" i="24"/>
  <c r="AF46" i="24"/>
  <c r="W41" i="24"/>
  <c r="J73" i="19"/>
  <c r="K73" i="19" s="1"/>
  <c r="J75" i="19"/>
  <c r="K75" i="19" s="1"/>
  <c r="J76" i="19"/>
  <c r="K76" i="19" s="1"/>
  <c r="J74" i="19"/>
  <c r="K74" i="19" s="1"/>
  <c r="J77" i="19"/>
  <c r="K77" i="19" s="1"/>
  <c r="J78" i="19"/>
  <c r="K78" i="19" s="1"/>
  <c r="BP47" i="24"/>
  <c r="AW41" i="24"/>
  <c r="BX41" i="24"/>
  <c r="AZ41" i="24"/>
  <c r="BR47" i="24"/>
  <c r="BG46" i="24"/>
  <c r="AU46" i="24"/>
  <c r="BH47" i="24"/>
  <c r="AY41" i="24"/>
  <c r="BT46" i="24"/>
  <c r="CE47" i="24"/>
  <c r="BD46" i="24"/>
  <c r="BC41" i="24"/>
  <c r="CC42" i="24"/>
  <c r="BJ42" i="24"/>
  <c r="BK47" i="24"/>
  <c r="BO46" i="24"/>
  <c r="BF41" i="24"/>
  <c r="BT41" i="24"/>
  <c r="BP46" i="24"/>
  <c r="BG41" i="24"/>
  <c r="U41" i="24"/>
  <c r="BO42" i="24"/>
  <c r="Q41" i="24"/>
  <c r="BY46" i="24"/>
  <c r="AO47" i="24"/>
  <c r="AC47" i="24"/>
  <c r="BD47" i="24"/>
  <c r="T47" i="24"/>
  <c r="BG47" i="24"/>
  <c r="O46" i="24"/>
  <c r="AL41" i="24"/>
  <c r="BZ41" i="24"/>
  <c r="AP41" i="24"/>
  <c r="F41" i="24"/>
  <c r="AQ42" i="24"/>
  <c r="BV46" i="24"/>
  <c r="AJ41" i="24"/>
  <c r="AP42" i="24"/>
  <c r="AX47" i="24"/>
  <c r="BS41" i="24"/>
  <c r="BS46" i="24"/>
  <c r="CD46" i="24"/>
  <c r="X46" i="24"/>
  <c r="BC46" i="24"/>
  <c r="G41" i="24"/>
  <c r="AG41" i="24"/>
  <c r="AY46" i="24"/>
  <c r="D46" i="24"/>
  <c r="BN42" i="24"/>
  <c r="R47" i="24"/>
  <c r="AM41" i="24"/>
  <c r="AZ47" i="24"/>
  <c r="BP41" i="24"/>
  <c r="AX41" i="24"/>
  <c r="AQ46" i="24"/>
  <c r="BA46" i="24"/>
  <c r="BM41" i="24"/>
  <c r="N47" i="24"/>
  <c r="AL46" i="24"/>
  <c r="U47" i="24"/>
  <c r="AS46" i="24"/>
  <c r="AE41" i="24"/>
  <c r="AI41" i="24"/>
  <c r="BH41" i="24"/>
  <c r="BL42" i="24"/>
  <c r="CE41" i="24"/>
  <c r="L46" i="24"/>
  <c r="X41" i="24"/>
  <c r="AZ42" i="24"/>
  <c r="AS42" i="24"/>
  <c r="AC41" i="24"/>
  <c r="BX46" i="24"/>
  <c r="K46" i="24"/>
  <c r="BE41" i="24"/>
  <c r="F46" i="24"/>
  <c r="S46" i="24"/>
  <c r="CE46" i="24"/>
  <c r="CD47" i="24"/>
  <c r="CB42" i="24"/>
  <c r="BK41" i="24"/>
  <c r="AF41" i="24"/>
  <c r="AV46" i="24"/>
  <c r="AK46" i="24"/>
  <c r="AO46" i="24"/>
  <c r="BT42" i="24"/>
  <c r="AF42" i="24"/>
  <c r="AN47" i="24"/>
  <c r="I41" i="24"/>
  <c r="Q46" i="24"/>
  <c r="BI46" i="24"/>
  <c r="V41" i="24"/>
  <c r="AQ47" i="24"/>
  <c r="O41" i="24"/>
  <c r="AU41" i="24"/>
  <c r="AJ46" i="24"/>
  <c r="AG42" i="24"/>
  <c r="BZ46" i="24"/>
  <c r="AH47" i="24"/>
  <c r="AD46" i="24"/>
  <c r="AZ46" i="24"/>
  <c r="J41" i="24"/>
  <c r="BN41" i="24"/>
  <c r="BI47" i="24"/>
  <c r="BS42" i="24"/>
  <c r="BR41" i="24"/>
  <c r="W46" i="24"/>
  <c r="BN46" i="24"/>
  <c r="Y46" i="24"/>
  <c r="BR42" i="24"/>
  <c r="AN42" i="24"/>
  <c r="BM46" i="24"/>
  <c r="AW42" i="24"/>
  <c r="BU46" i="24"/>
  <c r="BQ47" i="24"/>
  <c r="BF47" i="24"/>
  <c r="AR41" i="24"/>
  <c r="CC41" i="24"/>
  <c r="S42" i="24"/>
  <c r="AX46" i="24"/>
  <c r="Y41" i="24"/>
  <c r="BR46" i="24"/>
  <c r="AN41" i="24"/>
  <c r="AM42" i="24"/>
  <c r="E47" i="24"/>
  <c r="E42" i="24"/>
  <c r="BG42" i="24"/>
  <c r="CC47" i="24"/>
  <c r="BH46" i="24"/>
  <c r="AW46" i="24"/>
  <c r="AG47" i="24"/>
  <c r="E46" i="24"/>
  <c r="BT47" i="24"/>
  <c r="AP47" i="24"/>
  <c r="BO47" i="24"/>
  <c r="S47" i="24"/>
  <c r="BL47" i="24"/>
  <c r="AS47" i="24"/>
  <c r="AF47" i="24"/>
  <c r="BW47" i="24"/>
  <c r="BW42" i="24"/>
  <c r="BB47" i="24"/>
  <c r="BB42" i="24"/>
  <c r="BH42" i="24"/>
  <c r="AA41" i="24"/>
  <c r="U42" i="24"/>
  <c r="I42" i="24"/>
  <c r="BX42" i="24"/>
  <c r="AV42" i="24"/>
  <c r="K42" i="24"/>
  <c r="M42" i="24"/>
  <c r="AC46" i="24"/>
  <c r="R46" i="24"/>
  <c r="AH41" i="24"/>
  <c r="K41" i="24"/>
  <c r="AP46" i="24"/>
  <c r="BE47" i="24"/>
  <c r="BE42" i="24"/>
  <c r="L47" i="24"/>
  <c r="L42" i="24"/>
  <c r="AC42" i="24"/>
  <c r="T46" i="24"/>
  <c r="CB41" i="24"/>
  <c r="AT46" i="24"/>
  <c r="AX42" i="24"/>
  <c r="M46" i="24"/>
  <c r="AT42" i="24"/>
  <c r="U46" i="24"/>
  <c r="CA41" i="24"/>
  <c r="CE42" i="24"/>
  <c r="BV41" i="24"/>
  <c r="AK41" i="24"/>
  <c r="BF46" i="24"/>
  <c r="CA47" i="24"/>
  <c r="CA42" i="24"/>
  <c r="AE42" i="24"/>
  <c r="I47" i="24"/>
  <c r="BX47" i="24"/>
  <c r="AV47" i="24"/>
  <c r="K47" i="24"/>
  <c r="BJ47" i="24"/>
  <c r="M47" i="24"/>
  <c r="R41" i="24"/>
  <c r="AH46" i="24"/>
  <c r="F47" i="24"/>
  <c r="F42" i="24"/>
  <c r="AA47" i="24"/>
  <c r="AA42" i="24"/>
  <c r="Z42" i="24"/>
  <c r="CB46" i="24"/>
  <c r="AT41" i="24"/>
  <c r="BL41" i="24"/>
  <c r="AR47" i="24"/>
  <c r="AR42" i="24"/>
  <c r="AE47" i="24"/>
  <c r="P46" i="24"/>
  <c r="AK42" i="24"/>
  <c r="BP42" i="24"/>
  <c r="J42" i="24"/>
  <c r="T42" i="24"/>
  <c r="BY42" i="24"/>
  <c r="BF42" i="24"/>
  <c r="BA42" i="24"/>
  <c r="V47" i="24"/>
  <c r="Y42" i="24"/>
  <c r="Z47" i="24"/>
  <c r="Q42" i="24"/>
  <c r="X42" i="24"/>
  <c r="AU47" i="24"/>
  <c r="AU42" i="24"/>
  <c r="AO41" i="24"/>
  <c r="AJ47" i="24"/>
  <c r="AJ42" i="24"/>
  <c r="J47" i="24"/>
  <c r="BY47" i="24"/>
  <c r="BA47" i="24"/>
  <c r="AB47" i="24"/>
  <c r="AB42" i="24"/>
  <c r="AB46" i="24"/>
  <c r="AD47" i="24"/>
  <c r="AD48" i="24" s="1"/>
  <c r="AO42" i="24"/>
  <c r="BW46" i="24"/>
  <c r="BD41" i="24"/>
  <c r="V46" i="24"/>
  <c r="O47" i="24"/>
  <c r="O42" i="24"/>
  <c r="BC47" i="24"/>
  <c r="BC42" i="24"/>
  <c r="X47" i="24"/>
  <c r="G47" i="24"/>
  <c r="G42" i="24"/>
  <c r="AE46" i="24"/>
  <c r="BQ41" i="24"/>
  <c r="BB46" i="24"/>
  <c r="BQ42" i="24"/>
  <c r="BJ46" i="24"/>
  <c r="BD42" i="24"/>
  <c r="AH42" i="24"/>
  <c r="BU42" i="24"/>
  <c r="AL42" i="24"/>
  <c r="R42" i="24"/>
  <c r="N42" i="24"/>
  <c r="BK42" i="24"/>
  <c r="CD42" i="24"/>
  <c r="AD42" i="24"/>
  <c r="AB41" i="24"/>
  <c r="P47" i="24"/>
  <c r="P42" i="24"/>
  <c r="BW41" i="24"/>
  <c r="BM47" i="24"/>
  <c r="BM42" i="24"/>
  <c r="N46" i="24"/>
  <c r="BK46" i="24"/>
  <c r="BU41" i="24"/>
  <c r="BV47" i="24"/>
  <c r="BV42" i="24"/>
  <c r="BQ46" i="24"/>
  <c r="BB41" i="24"/>
  <c r="L88" i="23"/>
  <c r="J59" i="23" s="1"/>
  <c r="L88" i="20"/>
  <c r="J59" i="20" s="1"/>
  <c r="L71" i="19"/>
  <c r="J59" i="19" s="1"/>
  <c r="L74" i="21"/>
  <c r="J59" i="21" s="1"/>
  <c r="C67" i="6"/>
  <c r="L66" i="19"/>
  <c r="J57" i="19" s="1"/>
  <c r="J80" i="22"/>
  <c r="K80" i="22" s="1"/>
  <c r="K79" i="22"/>
  <c r="L79" i="22"/>
  <c r="W43" i="24" l="1"/>
  <c r="W44" i="24" s="1"/>
  <c r="W50" i="24" s="1"/>
  <c r="W15" i="24" s="1"/>
  <c r="W20" i="24" s="1"/>
  <c r="W21" i="24" s="1"/>
  <c r="W25" i="24" s="1"/>
  <c r="AG48" i="24"/>
  <c r="AG45" i="24" s="1"/>
  <c r="D48" i="24"/>
  <c r="D49" i="24" s="1"/>
  <c r="AA48" i="24"/>
  <c r="AA45" i="24" s="1"/>
  <c r="BY43" i="24"/>
  <c r="BY44" i="24" s="1"/>
  <c r="BY50" i="24" s="1"/>
  <c r="BY15" i="24" s="1"/>
  <c r="T43" i="24"/>
  <c r="T44" i="24" s="1"/>
  <c r="T50" i="24" s="1"/>
  <c r="T15" i="24" s="1"/>
  <c r="T20" i="24" s="1"/>
  <c r="T21" i="24" s="1"/>
  <c r="T25" i="24" s="1"/>
  <c r="E43" i="24"/>
  <c r="E44" i="24" s="1"/>
  <c r="AD43" i="24"/>
  <c r="AD44" i="24" s="1"/>
  <c r="AD50" i="24" s="1"/>
  <c r="AD15" i="24" s="1"/>
  <c r="AD20" i="24" s="1"/>
  <c r="AD21" i="24" s="1"/>
  <c r="AD25" i="24" s="1"/>
  <c r="Z48" i="24"/>
  <c r="Z45" i="24" s="1"/>
  <c r="CA48" i="24"/>
  <c r="CA45" i="24" s="1"/>
  <c r="AL43" i="24"/>
  <c r="AL44" i="24" s="1"/>
  <c r="AL50" i="24" s="1"/>
  <c r="AL15" i="24" s="1"/>
  <c r="Y48" i="24"/>
  <c r="Y49" i="24" s="1"/>
  <c r="BL48" i="24"/>
  <c r="BL45" i="24" s="1"/>
  <c r="H48" i="24"/>
  <c r="H49" i="24" s="1"/>
  <c r="BA43" i="24"/>
  <c r="BA44" i="24" s="1"/>
  <c r="BA50" i="24" s="1"/>
  <c r="BA15" i="24" s="1"/>
  <c r="BA20" i="24" s="1"/>
  <c r="BA21" i="24" s="1"/>
  <c r="BA25" i="24" s="1"/>
  <c r="AK48" i="24"/>
  <c r="AK49" i="24" s="1"/>
  <c r="AM48" i="24"/>
  <c r="AM45" i="24" s="1"/>
  <c r="W48" i="24"/>
  <c r="W49" i="24" s="1"/>
  <c r="AQ43" i="24"/>
  <c r="AQ44" i="24" s="1"/>
  <c r="AQ50" i="24" s="1"/>
  <c r="AQ15" i="24" s="1"/>
  <c r="AQ20" i="24" s="1"/>
  <c r="AQ21" i="24" s="1"/>
  <c r="AQ25" i="24" s="1"/>
  <c r="BJ43" i="24"/>
  <c r="BJ44" i="24" s="1"/>
  <c r="BJ50" i="24" s="1"/>
  <c r="BJ15" i="24" s="1"/>
  <c r="BJ20" i="24" s="1"/>
  <c r="BJ21" i="24" s="1"/>
  <c r="BJ25" i="24" s="1"/>
  <c r="CC48" i="24"/>
  <c r="CC49" i="24" s="1"/>
  <c r="BC48" i="24"/>
  <c r="BC45" i="24" s="1"/>
  <c r="X43" i="24"/>
  <c r="X44" i="24" s="1"/>
  <c r="U48" i="24"/>
  <c r="U49" i="24" s="1"/>
  <c r="BV48" i="24"/>
  <c r="BV45" i="24" s="1"/>
  <c r="BY20" i="24"/>
  <c r="BY21" i="24" s="1"/>
  <c r="BY25" i="24" s="1"/>
  <c r="AL20" i="24"/>
  <c r="AL21" i="24" s="1"/>
  <c r="AL25" i="24" s="1"/>
  <c r="BO43" i="24"/>
  <c r="BO44" i="24" s="1"/>
  <c r="D43" i="24"/>
  <c r="D44" i="24" s="1"/>
  <c r="BN48" i="24"/>
  <c r="BN49" i="24" s="1"/>
  <c r="H43" i="24"/>
  <c r="H44" i="24" s="1"/>
  <c r="H50" i="24" s="1"/>
  <c r="H15" i="24" s="1"/>
  <c r="H19" i="24" s="1"/>
  <c r="AT48" i="24"/>
  <c r="AT45" i="24" s="1"/>
  <c r="BI43" i="24"/>
  <c r="BI44" i="24" s="1"/>
  <c r="BI50" i="24" s="1"/>
  <c r="BI15" i="24" s="1"/>
  <c r="BI20" i="24" s="1"/>
  <c r="BI21" i="24" s="1"/>
  <c r="BI25" i="24" s="1"/>
  <c r="Q48" i="24"/>
  <c r="Q49" i="24" s="1"/>
  <c r="P43" i="24"/>
  <c r="P44" i="24" s="1"/>
  <c r="BZ43" i="24"/>
  <c r="BZ44" i="24" s="1"/>
  <c r="BZ50" i="24" s="1"/>
  <c r="BZ15" i="24" s="1"/>
  <c r="BG48" i="24"/>
  <c r="BG49" i="24" s="1"/>
  <c r="M43" i="24"/>
  <c r="M44" i="24" s="1"/>
  <c r="M50" i="24" s="1"/>
  <c r="M15" i="24" s="1"/>
  <c r="M20" i="24" s="1"/>
  <c r="M21" i="24" s="1"/>
  <c r="M25" i="24" s="1"/>
  <c r="AY48" i="24"/>
  <c r="AY49" i="24" s="1"/>
  <c r="U43" i="24"/>
  <c r="U44" i="24" s="1"/>
  <c r="U50" i="24" s="1"/>
  <c r="U15" i="24" s="1"/>
  <c r="U20" i="24" s="1"/>
  <c r="U21" i="24" s="1"/>
  <c r="U25" i="24" s="1"/>
  <c r="AY43" i="24"/>
  <c r="AY44" i="24" s="1"/>
  <c r="AY50" i="24" s="1"/>
  <c r="AY15" i="24" s="1"/>
  <c r="AY20" i="24" s="1"/>
  <c r="AY21" i="24" s="1"/>
  <c r="AY25" i="24" s="1"/>
  <c r="AJ43" i="24"/>
  <c r="AJ44" i="24" s="1"/>
  <c r="AJ50" i="24" s="1"/>
  <c r="AJ15" i="24" s="1"/>
  <c r="O43" i="24"/>
  <c r="O44" i="24" s="1"/>
  <c r="O50" i="24" s="1"/>
  <c r="O15" i="24" s="1"/>
  <c r="AE43" i="24"/>
  <c r="AE44" i="24" s="1"/>
  <c r="CD48" i="24"/>
  <c r="CD49" i="24" s="1"/>
  <c r="J43" i="24"/>
  <c r="J44" i="24" s="1"/>
  <c r="J50" i="24" s="1"/>
  <c r="J15" i="24" s="1"/>
  <c r="J86" i="22"/>
  <c r="J83" i="22"/>
  <c r="K83" i="22" s="1"/>
  <c r="J84" i="22"/>
  <c r="K84" i="22" s="1"/>
  <c r="J85" i="22"/>
  <c r="K85" i="22" s="1"/>
  <c r="J82" i="22"/>
  <c r="K82" i="22" s="1"/>
  <c r="AV43" i="24"/>
  <c r="AV44" i="24" s="1"/>
  <c r="AR48" i="24"/>
  <c r="AR45" i="24" s="1"/>
  <c r="I48" i="24"/>
  <c r="I45" i="24" s="1"/>
  <c r="AW48" i="24"/>
  <c r="AW49" i="24" s="1"/>
  <c r="BA48" i="24"/>
  <c r="BA49" i="24" s="1"/>
  <c r="G48" i="24"/>
  <c r="G45" i="24" s="1"/>
  <c r="BY48" i="24"/>
  <c r="BY45" i="24" s="1"/>
  <c r="V43" i="24"/>
  <c r="V44" i="24" s="1"/>
  <c r="V50" i="24" s="1"/>
  <c r="V15" i="24" s="1"/>
  <c r="V20" i="24" s="1"/>
  <c r="V21" i="24" s="1"/>
  <c r="V25" i="24" s="1"/>
  <c r="J48" i="24"/>
  <c r="J45" i="24" s="1"/>
  <c r="CD43" i="24"/>
  <c r="CD44" i="24" s="1"/>
  <c r="CD50" i="24" s="1"/>
  <c r="CD15" i="24" s="1"/>
  <c r="CD20" i="24" s="1"/>
  <c r="CD21" i="24" s="1"/>
  <c r="CD25" i="24" s="1"/>
  <c r="BO48" i="24"/>
  <c r="BO45" i="24" s="1"/>
  <c r="AC43" i="24"/>
  <c r="AC44" i="24" s="1"/>
  <c r="AC50" i="24" s="1"/>
  <c r="AC15" i="24" s="1"/>
  <c r="Q43" i="24"/>
  <c r="Q44" i="24" s="1"/>
  <c r="Q50" i="24" s="1"/>
  <c r="Q15" i="24" s="1"/>
  <c r="BK48" i="24"/>
  <c r="BK45" i="24" s="1"/>
  <c r="BH48" i="24"/>
  <c r="BH49" i="24" s="1"/>
  <c r="Z43" i="24"/>
  <c r="Z44" i="24" s="1"/>
  <c r="Z50" i="24" s="1"/>
  <c r="Z15" i="24" s="1"/>
  <c r="BE48" i="24"/>
  <c r="BE45" i="24" s="1"/>
  <c r="BU48" i="24"/>
  <c r="BU45" i="24" s="1"/>
  <c r="BZ48" i="24"/>
  <c r="BZ49" i="24" s="1"/>
  <c r="AI43" i="24"/>
  <c r="AI44" i="24" s="1"/>
  <c r="AI50" i="24" s="1"/>
  <c r="AI15" i="24" s="1"/>
  <c r="AX48" i="24"/>
  <c r="AX49" i="24" s="1"/>
  <c r="BS48" i="24"/>
  <c r="BS49" i="24" s="1"/>
  <c r="AI48" i="24"/>
  <c r="AI49" i="24" s="1"/>
  <c r="AU43" i="24"/>
  <c r="AU44" i="24" s="1"/>
  <c r="BB43" i="24"/>
  <c r="BB44" i="24" s="1"/>
  <c r="F43" i="24"/>
  <c r="F44" i="24" s="1"/>
  <c r="AV48" i="24"/>
  <c r="AV45" i="24" s="1"/>
  <c r="N48" i="24"/>
  <c r="N45" i="24" s="1"/>
  <c r="BE43" i="24"/>
  <c r="BE44" i="24" s="1"/>
  <c r="BE50" i="24" s="1"/>
  <c r="BE15" i="24" s="1"/>
  <c r="BM43" i="24"/>
  <c r="BM44" i="24" s="1"/>
  <c r="AF48" i="24"/>
  <c r="AF45" i="24" s="1"/>
  <c r="CE48" i="24"/>
  <c r="CE49" i="24" s="1"/>
  <c r="AL48" i="24"/>
  <c r="AL45" i="24" s="1"/>
  <c r="BG43" i="24"/>
  <c r="BG44" i="24" s="1"/>
  <c r="BG50" i="24" s="1"/>
  <c r="BG15" i="24" s="1"/>
  <c r="BL43" i="24"/>
  <c r="BL44" i="24" s="1"/>
  <c r="O48" i="24"/>
  <c r="O49" i="24" s="1"/>
  <c r="G43" i="24"/>
  <c r="G44" i="24" s="1"/>
  <c r="G50" i="24" s="1"/>
  <c r="G15" i="24" s="1"/>
  <c r="G19" i="24" s="1"/>
  <c r="AU48" i="24"/>
  <c r="AU49" i="24" s="1"/>
  <c r="CB43" i="24"/>
  <c r="CB44" i="24" s="1"/>
  <c r="CB50" i="24" s="1"/>
  <c r="CB15" i="24" s="1"/>
  <c r="CB20" i="24" s="1"/>
  <c r="CB21" i="24" s="1"/>
  <c r="CB25" i="24" s="1"/>
  <c r="J49" i="19"/>
  <c r="BC43" i="24"/>
  <c r="BC44" i="24" s="1"/>
  <c r="CB48" i="24"/>
  <c r="CB49" i="24" s="1"/>
  <c r="BQ48" i="24"/>
  <c r="BQ49" i="24" s="1"/>
  <c r="BW43" i="24"/>
  <c r="BW44" i="24" s="1"/>
  <c r="BW50" i="24" s="1"/>
  <c r="BW15" i="24" s="1"/>
  <c r="N43" i="24"/>
  <c r="N44" i="24" s="1"/>
  <c r="N50" i="24" s="1"/>
  <c r="N15" i="24" s="1"/>
  <c r="BB48" i="24"/>
  <c r="BB49" i="24" s="1"/>
  <c r="BR48" i="24"/>
  <c r="BR49" i="24" s="1"/>
  <c r="L43" i="24"/>
  <c r="L44" i="24" s="1"/>
  <c r="L50" i="24" s="1"/>
  <c r="L15" i="24" s="1"/>
  <c r="L20" i="24" s="1"/>
  <c r="L21" i="24" s="1"/>
  <c r="L25" i="24" s="1"/>
  <c r="S43" i="24"/>
  <c r="S44" i="24" s="1"/>
  <c r="L48" i="24"/>
  <c r="L49" i="24" s="1"/>
  <c r="AR43" i="24"/>
  <c r="AR44" i="24" s="1"/>
  <c r="AM43" i="24"/>
  <c r="AM44" i="24" s="1"/>
  <c r="AM50" i="24" s="1"/>
  <c r="AM15" i="24" s="1"/>
  <c r="X48" i="24"/>
  <c r="CC43" i="24"/>
  <c r="CC44" i="24" s="1"/>
  <c r="CC50" i="24" s="1"/>
  <c r="CC15" i="24" s="1"/>
  <c r="CC20" i="24" s="1"/>
  <c r="CC21" i="24" s="1"/>
  <c r="CC25" i="24" s="1"/>
  <c r="AH48" i="24"/>
  <c r="AH45" i="24" s="1"/>
  <c r="T48" i="24"/>
  <c r="T45" i="24" s="1"/>
  <c r="BP48" i="24"/>
  <c r="BP49" i="24" s="1"/>
  <c r="AS43" i="24"/>
  <c r="AS44" i="24" s="1"/>
  <c r="AP43" i="24"/>
  <c r="AP44" i="24" s="1"/>
  <c r="AP50" i="24" s="1"/>
  <c r="AP15" i="24" s="1"/>
  <c r="AP20" i="24" s="1"/>
  <c r="AP21" i="24" s="1"/>
  <c r="AP25" i="24" s="1"/>
  <c r="BM48" i="24"/>
  <c r="BM45" i="24" s="1"/>
  <c r="CE43" i="24"/>
  <c r="CE44" i="24" s="1"/>
  <c r="CE50" i="24" s="1"/>
  <c r="CE15" i="24" s="1"/>
  <c r="CE20" i="24" s="1"/>
  <c r="CE21" i="24" s="1"/>
  <c r="CE25" i="24" s="1"/>
  <c r="BX43" i="24"/>
  <c r="BX44" i="24" s="1"/>
  <c r="BX50" i="24" s="1"/>
  <c r="BX15" i="24" s="1"/>
  <c r="BT43" i="24"/>
  <c r="BT44" i="24" s="1"/>
  <c r="BT50" i="24" s="1"/>
  <c r="BT15" i="24" s="1"/>
  <c r="BT20" i="24" s="1"/>
  <c r="BT21" i="24" s="1"/>
  <c r="BT25" i="24" s="1"/>
  <c r="AZ43" i="24"/>
  <c r="AZ44" i="24" s="1"/>
  <c r="AZ50" i="24" s="1"/>
  <c r="AZ15" i="24" s="1"/>
  <c r="AZ20" i="24" s="1"/>
  <c r="AZ21" i="24" s="1"/>
  <c r="AZ25" i="24" s="1"/>
  <c r="AJ48" i="24"/>
  <c r="AJ45" i="24" s="1"/>
  <c r="R48" i="24"/>
  <c r="R49" i="24" s="1"/>
  <c r="I43" i="24"/>
  <c r="I44" i="24" s="1"/>
  <c r="I50" i="24" s="1"/>
  <c r="I15" i="24" s="1"/>
  <c r="AC48" i="24"/>
  <c r="AC45" i="24" s="1"/>
  <c r="BJ48" i="24"/>
  <c r="BJ49" i="24" s="1"/>
  <c r="K48" i="24"/>
  <c r="K45" i="24" s="1"/>
  <c r="BN43" i="24"/>
  <c r="BN44" i="24" s="1"/>
  <c r="BN50" i="24" s="1"/>
  <c r="BN15" i="24" s="1"/>
  <c r="AN48" i="24"/>
  <c r="AN45" i="24" s="1"/>
  <c r="AG43" i="24"/>
  <c r="AG44" i="24" s="1"/>
  <c r="AG50" i="24" s="1"/>
  <c r="AG15" i="24" s="1"/>
  <c r="AG20" i="24" s="1"/>
  <c r="AG21" i="24" s="1"/>
  <c r="AG25" i="24" s="1"/>
  <c r="BS43" i="24"/>
  <c r="BS44" i="24" s="1"/>
  <c r="BS50" i="24" s="1"/>
  <c r="BS15" i="24" s="1"/>
  <c r="BS20" i="24" s="1"/>
  <c r="BS21" i="24" s="1"/>
  <c r="BS25" i="24" s="1"/>
  <c r="AO48" i="24"/>
  <c r="AO45" i="24" s="1"/>
  <c r="AZ48" i="24"/>
  <c r="AZ45" i="24" s="1"/>
  <c r="BR43" i="24"/>
  <c r="BR44" i="24" s="1"/>
  <c r="BR50" i="24" s="1"/>
  <c r="BR15" i="24" s="1"/>
  <c r="BR20" i="24" s="1"/>
  <c r="BR21" i="24" s="1"/>
  <c r="BR25" i="24" s="1"/>
  <c r="BX48" i="24"/>
  <c r="BX45" i="24" s="1"/>
  <c r="AN43" i="24"/>
  <c r="AN44" i="24" s="1"/>
  <c r="AN50" i="24" s="1"/>
  <c r="AN15" i="24" s="1"/>
  <c r="AN20" i="24" s="1"/>
  <c r="AN21" i="24" s="1"/>
  <c r="AN25" i="24" s="1"/>
  <c r="AW43" i="24"/>
  <c r="AW44" i="24" s="1"/>
  <c r="BD48" i="24"/>
  <c r="BD49" i="24" s="1"/>
  <c r="BK43" i="24"/>
  <c r="BK44" i="24" s="1"/>
  <c r="BK50" i="24" s="1"/>
  <c r="BK15" i="24" s="1"/>
  <c r="BK20" i="24" s="1"/>
  <c r="BK21" i="24" s="1"/>
  <c r="BK25" i="24" s="1"/>
  <c r="BF43" i="24"/>
  <c r="BF44" i="24" s="1"/>
  <c r="BT48" i="24"/>
  <c r="BT45" i="24" s="1"/>
  <c r="BF48" i="24"/>
  <c r="BF49" i="24" s="1"/>
  <c r="BH43" i="24"/>
  <c r="BH44" i="24" s="1"/>
  <c r="BP43" i="24"/>
  <c r="BP44" i="24" s="1"/>
  <c r="AS48" i="24"/>
  <c r="AS45" i="24" s="1"/>
  <c r="AT43" i="24"/>
  <c r="AT44" i="24" s="1"/>
  <c r="AT50" i="24" s="1"/>
  <c r="AT15" i="24" s="1"/>
  <c r="AT19" i="24" s="1"/>
  <c r="AF43" i="24"/>
  <c r="AF44" i="24" s="1"/>
  <c r="AF50" i="24" s="1"/>
  <c r="AF15" i="24" s="1"/>
  <c r="AF20" i="24" s="1"/>
  <c r="AF21" i="24" s="1"/>
  <c r="AF25" i="24" s="1"/>
  <c r="BW48" i="24"/>
  <c r="BW45" i="24" s="1"/>
  <c r="F48" i="24"/>
  <c r="F45" i="24" s="1"/>
  <c r="AB48" i="24"/>
  <c r="AB49" i="24" s="1"/>
  <c r="AX43" i="24"/>
  <c r="AX44" i="24" s="1"/>
  <c r="AX50" i="24" s="1"/>
  <c r="AX15" i="24" s="1"/>
  <c r="AX20" i="24" s="1"/>
  <c r="AX21" i="24" s="1"/>
  <c r="AX25" i="24" s="1"/>
  <c r="BI48" i="24"/>
  <c r="BI49" i="24" s="1"/>
  <c r="BQ43" i="24"/>
  <c r="BQ44" i="24" s="1"/>
  <c r="BQ50" i="24" s="1"/>
  <c r="BQ15" i="24" s="1"/>
  <c r="AK43" i="24"/>
  <c r="AK44" i="24" s="1"/>
  <c r="AK50" i="24" s="1"/>
  <c r="AK15" i="24" s="1"/>
  <c r="AP48" i="24"/>
  <c r="AP49" i="24" s="1"/>
  <c r="BD43" i="24"/>
  <c r="BD44" i="24" s="1"/>
  <c r="S48" i="24"/>
  <c r="S45" i="24" s="1"/>
  <c r="AQ48" i="24"/>
  <c r="AD45" i="24"/>
  <c r="AD49" i="24"/>
  <c r="BV43" i="24"/>
  <c r="BV44" i="24" s="1"/>
  <c r="BV50" i="24" s="1"/>
  <c r="BV15" i="24" s="1"/>
  <c r="K43" i="24"/>
  <c r="K44" i="24" s="1"/>
  <c r="K50" i="24" s="1"/>
  <c r="K15" i="24" s="1"/>
  <c r="BU43" i="24"/>
  <c r="BU44" i="24" s="1"/>
  <c r="BU50" i="24" s="1"/>
  <c r="BU15" i="24" s="1"/>
  <c r="BU20" i="24" s="1"/>
  <c r="BU21" i="24" s="1"/>
  <c r="BU25" i="24" s="1"/>
  <c r="AB43" i="24"/>
  <c r="AB44" i="24" s="1"/>
  <c r="AE48" i="24"/>
  <c r="V48" i="24"/>
  <c r="AH43" i="24"/>
  <c r="AH44" i="24" s="1"/>
  <c r="AH50" i="24" s="1"/>
  <c r="AH15" i="24" s="1"/>
  <c r="CA43" i="24"/>
  <c r="CA44" i="24" s="1"/>
  <c r="CA50" i="24" s="1"/>
  <c r="CA15" i="24" s="1"/>
  <c r="P48" i="24"/>
  <c r="R43" i="24"/>
  <c r="R44" i="24" s="1"/>
  <c r="R50" i="24" s="1"/>
  <c r="R15" i="24" s="1"/>
  <c r="AA43" i="24"/>
  <c r="AA44" i="24" s="1"/>
  <c r="AA50" i="24" s="1"/>
  <c r="AA15" i="24" s="1"/>
  <c r="M48" i="24"/>
  <c r="Y43" i="24"/>
  <c r="Y44" i="24" s="1"/>
  <c r="Y50" i="24" s="1"/>
  <c r="Y15" i="24" s="1"/>
  <c r="AO43" i="24"/>
  <c r="AO44" i="24" s="1"/>
  <c r="AO50" i="24" s="1"/>
  <c r="AO15" i="24" s="1"/>
  <c r="AO20" i="24" s="1"/>
  <c r="AO21" i="24" s="1"/>
  <c r="AO25" i="24" s="1"/>
  <c r="E48" i="24"/>
  <c r="J48" i="22"/>
  <c r="B8" i="9" s="1"/>
  <c r="L80" i="22"/>
  <c r="J59" i="22" s="1"/>
  <c r="E117" i="14"/>
  <c r="E114" i="14"/>
  <c r="E112" i="14"/>
  <c r="E111" i="14"/>
  <c r="E109" i="14"/>
  <c r="BL50" i="24" l="1"/>
  <c r="BL15" i="24" s="1"/>
  <c r="BL19" i="24" s="1"/>
  <c r="D50" i="24"/>
  <c r="D15" i="24" s="1"/>
  <c r="D19" i="24" s="1"/>
  <c r="D20" i="24" s="1"/>
  <c r="D21" i="24" s="1"/>
  <c r="D25" i="24" s="1"/>
  <c r="BM50" i="24"/>
  <c r="BM15" i="24" s="1"/>
  <c r="BM19" i="24" s="1"/>
  <c r="BM20" i="24" s="1"/>
  <c r="BM21" i="24" s="1"/>
  <c r="BM25" i="24" s="1"/>
  <c r="BC50" i="24"/>
  <c r="BC15" i="24" s="1"/>
  <c r="BC19" i="24" s="1"/>
  <c r="BC20" i="24" s="1"/>
  <c r="BC21" i="24" s="1"/>
  <c r="BC25" i="24" s="1"/>
  <c r="AR50" i="24"/>
  <c r="AR15" i="24" s="1"/>
  <c r="AR19" i="24" s="1"/>
  <c r="AR20" i="24" s="1"/>
  <c r="AR21" i="24" s="1"/>
  <c r="AR25" i="24" s="1"/>
  <c r="H45" i="24"/>
  <c r="BE20" i="24"/>
  <c r="BE21" i="24" s="1"/>
  <c r="BE25" i="24" s="1"/>
  <c r="R20" i="24"/>
  <c r="R21" i="24" s="1"/>
  <c r="R25" i="24" s="1"/>
  <c r="AC20" i="24"/>
  <c r="AC21" i="24" s="1"/>
  <c r="AC25" i="24" s="1"/>
  <c r="I19" i="24"/>
  <c r="I20" i="24" s="1"/>
  <c r="I21" i="24" s="1"/>
  <c r="I25" i="24" s="1"/>
  <c r="BL20" i="24"/>
  <c r="BL21" i="24" s="1"/>
  <c r="BL25" i="24" s="1"/>
  <c r="AA20" i="24"/>
  <c r="AA21" i="24" s="1"/>
  <c r="AA25" i="24" s="1"/>
  <c r="AT20" i="24"/>
  <c r="AT21" i="24" s="1"/>
  <c r="AT25" i="24" s="1"/>
  <c r="N20" i="24"/>
  <c r="N21" i="24" s="1"/>
  <c r="N25" i="24" s="1"/>
  <c r="Q20" i="24"/>
  <c r="Q21" i="24" s="1"/>
  <c r="Q25" i="24" s="1"/>
  <c r="BQ20" i="24"/>
  <c r="BQ21" i="24" s="1"/>
  <c r="BQ25" i="24" s="1"/>
  <c r="Z20" i="24"/>
  <c r="Z21" i="24" s="1"/>
  <c r="Z25" i="24" s="1"/>
  <c r="O20" i="24"/>
  <c r="O21" i="24" s="1"/>
  <c r="O25" i="24" s="1"/>
  <c r="Y20" i="24"/>
  <c r="Y21" i="24" s="1"/>
  <c r="Y25" i="24" s="1"/>
  <c r="AA49" i="24"/>
  <c r="BN20" i="24"/>
  <c r="BN21" i="24" s="1"/>
  <c r="BN25" i="24" s="1"/>
  <c r="BG20" i="24"/>
  <c r="BG21" i="24" s="1"/>
  <c r="BG25" i="24" s="1"/>
  <c r="Y45" i="24"/>
  <c r="AY45" i="24"/>
  <c r="CA49" i="24"/>
  <c r="AM49" i="24"/>
  <c r="BV49" i="24"/>
  <c r="D45" i="24"/>
  <c r="E50" i="24"/>
  <c r="E15" i="24" s="1"/>
  <c r="AG49" i="24"/>
  <c r="Z49" i="24"/>
  <c r="BC49" i="24"/>
  <c r="U45" i="24"/>
  <c r="AK45" i="24"/>
  <c r="BU49" i="24"/>
  <c r="AR49" i="24"/>
  <c r="AT49" i="24"/>
  <c r="CB45" i="24"/>
  <c r="Q45" i="24"/>
  <c r="CD45" i="24"/>
  <c r="AW45" i="24"/>
  <c r="BL49" i="24"/>
  <c r="X50" i="24"/>
  <c r="X15" i="24" s="1"/>
  <c r="N49" i="24"/>
  <c r="W45" i="24"/>
  <c r="BO50" i="24"/>
  <c r="BO15" i="24" s="1"/>
  <c r="BN45" i="24"/>
  <c r="CC45" i="24"/>
  <c r="J20" i="24"/>
  <c r="J21" i="24" s="1"/>
  <c r="J25" i="24" s="1"/>
  <c r="CA20" i="24"/>
  <c r="CA21" i="24" s="1"/>
  <c r="CA25" i="24" s="1"/>
  <c r="AM20" i="24"/>
  <c r="AM21" i="24" s="1"/>
  <c r="AM25" i="24" s="1"/>
  <c r="BV20" i="24"/>
  <c r="BV21" i="24" s="1"/>
  <c r="BV25" i="24" s="1"/>
  <c r="AH20" i="24"/>
  <c r="AH21" i="24" s="1"/>
  <c r="AH25" i="24" s="1"/>
  <c r="BX20" i="24"/>
  <c r="BX21" i="24" s="1"/>
  <c r="BX25" i="24" s="1"/>
  <c r="AJ20" i="24"/>
  <c r="AJ21" i="24" s="1"/>
  <c r="AJ25" i="24" s="1"/>
  <c r="BZ20" i="24"/>
  <c r="BZ21" i="24" s="1"/>
  <c r="BZ25" i="24" s="1"/>
  <c r="AK20" i="24"/>
  <c r="AK21" i="24" s="1"/>
  <c r="AK25" i="24" s="1"/>
  <c r="BW20" i="24"/>
  <c r="BW21" i="24" s="1"/>
  <c r="BW25" i="24" s="1"/>
  <c r="AI20" i="24"/>
  <c r="AI21" i="24" s="1"/>
  <c r="AI25" i="24" s="1"/>
  <c r="AS50" i="24"/>
  <c r="AS15" i="24" s="1"/>
  <c r="AS19" i="24" s="1"/>
  <c r="P50" i="24"/>
  <c r="P15" i="24" s="1"/>
  <c r="BZ45" i="24"/>
  <c r="J49" i="24"/>
  <c r="BY49" i="24"/>
  <c r="AF49" i="24"/>
  <c r="AI45" i="24"/>
  <c r="BH45" i="24"/>
  <c r="BR45" i="24"/>
  <c r="H20" i="24"/>
  <c r="H21" i="24" s="1"/>
  <c r="H25" i="24" s="1"/>
  <c r="BO49" i="24"/>
  <c r="AS49" i="24"/>
  <c r="BS45" i="24"/>
  <c r="X45" i="24"/>
  <c r="R45" i="24"/>
  <c r="BG45" i="24"/>
  <c r="BI45" i="24"/>
  <c r="BA45" i="24"/>
  <c r="AX45" i="24"/>
  <c r="O45" i="24"/>
  <c r="BE49" i="24"/>
  <c r="BK49" i="24"/>
  <c r="G20" i="24"/>
  <c r="G21" i="24" s="1"/>
  <c r="G25" i="24" s="1"/>
  <c r="BP50" i="24"/>
  <c r="BP15" i="24" s="1"/>
  <c r="S50" i="24"/>
  <c r="S15" i="24" s="1"/>
  <c r="AB50" i="24"/>
  <c r="AB15" i="24" s="1"/>
  <c r="I49" i="24"/>
  <c r="AV49" i="24"/>
  <c r="BD50" i="24"/>
  <c r="BD15" i="24" s="1"/>
  <c r="F50" i="24"/>
  <c r="F15" i="24" s="1"/>
  <c r="F19" i="24" s="1"/>
  <c r="BF50" i="24"/>
  <c r="BF15" i="24" s="1"/>
  <c r="BB50" i="24"/>
  <c r="BB15" i="24" s="1"/>
  <c r="BB19" i="24" s="1"/>
  <c r="AV50" i="24"/>
  <c r="AV15" i="24" s="1"/>
  <c r="AE50" i="24"/>
  <c r="AE15" i="24" s="1"/>
  <c r="AE20" i="24" s="1"/>
  <c r="AE21" i="24" s="1"/>
  <c r="AE25" i="24" s="1"/>
  <c r="AU50" i="24"/>
  <c r="AU15" i="24" s="1"/>
  <c r="AL49" i="24"/>
  <c r="X49" i="24"/>
  <c r="AW50" i="24"/>
  <c r="AW15" i="24" s="1"/>
  <c r="BH50" i="24"/>
  <c r="BH15" i="24" s="1"/>
  <c r="BH20" i="24" s="1"/>
  <c r="BH21" i="24" s="1"/>
  <c r="BH25" i="24" s="1"/>
  <c r="AC49" i="24"/>
  <c r="BM49" i="24"/>
  <c r="BB45" i="24"/>
  <c r="G49" i="24"/>
  <c r="AZ49" i="24"/>
  <c r="CE45" i="24"/>
  <c r="BP45" i="24"/>
  <c r="AU45" i="24"/>
  <c r="AP45" i="24"/>
  <c r="BQ45" i="24"/>
  <c r="BT49" i="24"/>
  <c r="L45" i="24"/>
  <c r="BW49" i="24"/>
  <c r="BX49" i="24"/>
  <c r="T49" i="24"/>
  <c r="AN49" i="24"/>
  <c r="F49" i="24"/>
  <c r="AO49" i="24"/>
  <c r="AH49" i="24"/>
  <c r="K49" i="24"/>
  <c r="AB45" i="24"/>
  <c r="BJ45" i="24"/>
  <c r="AJ49" i="24"/>
  <c r="BF45" i="24"/>
  <c r="BD45" i="24"/>
  <c r="S49" i="24"/>
  <c r="AQ45" i="24"/>
  <c r="AQ49" i="24"/>
  <c r="V45" i="24"/>
  <c r="V49" i="24"/>
  <c r="E45" i="24"/>
  <c r="E49" i="24"/>
  <c r="AE45" i="24"/>
  <c r="AE49" i="24"/>
  <c r="M45" i="24"/>
  <c r="M49" i="24"/>
  <c r="K20" i="24"/>
  <c r="K21" i="24" s="1"/>
  <c r="K25" i="24" s="1"/>
  <c r="P49" i="24"/>
  <c r="P45" i="24"/>
  <c r="E116" i="14"/>
  <c r="AV20" i="24" l="1"/>
  <c r="AV21" i="24" s="1"/>
  <c r="AV25" i="24" s="1"/>
  <c r="BD20" i="24"/>
  <c r="BD21" i="24" s="1"/>
  <c r="BD25" i="24" s="1"/>
  <c r="S20" i="24"/>
  <c r="S21" i="24" s="1"/>
  <c r="S25" i="24" s="1"/>
  <c r="P20" i="24"/>
  <c r="P21" i="24" s="1"/>
  <c r="P25" i="24" s="1"/>
  <c r="E19" i="24"/>
  <c r="E20" i="24" s="1"/>
  <c r="E21" i="24" s="1"/>
  <c r="E25" i="24" s="1"/>
  <c r="BB20" i="24"/>
  <c r="BB21" i="24" s="1"/>
  <c r="BB25" i="24" s="1"/>
  <c r="BP20" i="24"/>
  <c r="BP21" i="24" s="1"/>
  <c r="BP25" i="24" s="1"/>
  <c r="AS20" i="24"/>
  <c r="AS21" i="24" s="1"/>
  <c r="AS25" i="24" s="1"/>
  <c r="AU20" i="24"/>
  <c r="AU21" i="24" s="1"/>
  <c r="AU25" i="24" s="1"/>
  <c r="BF20" i="24"/>
  <c r="BF21" i="24" s="1"/>
  <c r="BF25" i="24" s="1"/>
  <c r="X20" i="24"/>
  <c r="X21" i="24" s="1"/>
  <c r="X25" i="24" s="1"/>
  <c r="AW20" i="24"/>
  <c r="AW21" i="24" s="1"/>
  <c r="AW25" i="24" s="1"/>
  <c r="AB20" i="24"/>
  <c r="AB21" i="24" s="1"/>
  <c r="AB25" i="24" s="1"/>
  <c r="BO20" i="24"/>
  <c r="BO21" i="24" s="1"/>
  <c r="BO25" i="24" s="1"/>
  <c r="F20" i="24"/>
  <c r="F21" i="24" s="1"/>
  <c r="F25" i="24" s="1"/>
  <c r="C12" i="16" a="1"/>
  <c r="C12" i="16" s="1"/>
  <c r="J12" i="1"/>
  <c r="I12" i="1"/>
  <c r="H12" i="1"/>
  <c r="G12" i="1"/>
  <c r="F12" i="1"/>
  <c r="D26" i="24" l="1"/>
  <c r="C21" i="25" s="1"/>
  <c r="F41" i="6"/>
  <c r="H30" i="1"/>
  <c r="G41" i="6"/>
  <c r="I30" i="1"/>
  <c r="E41" i="6"/>
  <c r="G30" i="1"/>
  <c r="H41" i="6"/>
  <c r="J30" i="1"/>
  <c r="D41" i="6"/>
  <c r="F30" i="1"/>
  <c r="F3" i="9"/>
  <c r="G3" i="9"/>
  <c r="E3" i="9"/>
  <c r="C3" i="9"/>
  <c r="D3" i="9"/>
  <c r="Y3" i="23"/>
  <c r="Y3" i="22"/>
  <c r="S3" i="23"/>
  <c r="S3" i="22"/>
  <c r="V3" i="22"/>
  <c r="V3" i="23"/>
  <c r="M3" i="22"/>
  <c r="M3" i="23"/>
  <c r="P3" i="22"/>
  <c r="P3" i="23"/>
  <c r="S3" i="21"/>
  <c r="S3" i="20"/>
  <c r="S3" i="19"/>
  <c r="V3" i="21"/>
  <c r="V3" i="20"/>
  <c r="V3" i="19"/>
  <c r="Y3" i="20"/>
  <c r="Y3" i="21"/>
  <c r="Y3" i="19"/>
  <c r="M3" i="20"/>
  <c r="M3" i="21"/>
  <c r="M3" i="19"/>
  <c r="P3" i="20"/>
  <c r="P3" i="21"/>
  <c r="P3" i="19"/>
  <c r="G24" i="16"/>
  <c r="F24" i="16"/>
  <c r="H24" i="16"/>
  <c r="D24" i="16"/>
  <c r="E24" i="16"/>
  <c r="C3" i="16" a="1"/>
  <c r="E8" i="31" l="1"/>
  <c r="F8" i="31" s="1"/>
  <c r="E12" i="31"/>
  <c r="F12" i="31" s="1"/>
  <c r="E16" i="31"/>
  <c r="F16" i="31" s="1"/>
  <c r="E20" i="31"/>
  <c r="F20" i="31" s="1"/>
  <c r="E24" i="31"/>
  <c r="F24" i="31" s="1"/>
  <c r="E28" i="31"/>
  <c r="F28" i="31" s="1"/>
  <c r="E32" i="31"/>
  <c r="F32" i="31" s="1"/>
  <c r="E36" i="31"/>
  <c r="F36" i="31" s="1"/>
  <c r="E40" i="31"/>
  <c r="F40" i="31" s="1"/>
  <c r="E44" i="31"/>
  <c r="F44" i="31" s="1"/>
  <c r="E48" i="31"/>
  <c r="F48" i="31" s="1"/>
  <c r="E52" i="31"/>
  <c r="F52" i="31" s="1"/>
  <c r="E56" i="31"/>
  <c r="F56" i="31" s="1"/>
  <c r="E60" i="31"/>
  <c r="F60" i="31" s="1"/>
  <c r="E64" i="31"/>
  <c r="F64" i="31" s="1"/>
  <c r="E68" i="31"/>
  <c r="F68" i="31" s="1"/>
  <c r="E72" i="31"/>
  <c r="F72" i="31" s="1"/>
  <c r="E76" i="31"/>
  <c r="F76" i="31" s="1"/>
  <c r="E80" i="31"/>
  <c r="F80" i="31" s="1"/>
  <c r="E84" i="31"/>
  <c r="F84" i="31" s="1"/>
  <c r="E88" i="31"/>
  <c r="F88" i="31" s="1"/>
  <c r="E92" i="31"/>
  <c r="F92" i="31" s="1"/>
  <c r="E96" i="31"/>
  <c r="F96" i="31" s="1"/>
  <c r="E100" i="31"/>
  <c r="F100" i="31" s="1"/>
  <c r="E104" i="31"/>
  <c r="F104" i="31" s="1"/>
  <c r="E108" i="31"/>
  <c r="F108" i="31" s="1"/>
  <c r="E112" i="31"/>
  <c r="F112" i="31" s="1"/>
  <c r="E116" i="31"/>
  <c r="F116" i="31" s="1"/>
  <c r="E120" i="31"/>
  <c r="F120" i="31" s="1"/>
  <c r="E124" i="31"/>
  <c r="F124" i="31" s="1"/>
  <c r="E128" i="31"/>
  <c r="F128" i="31" s="1"/>
  <c r="E132" i="31"/>
  <c r="F132" i="31" s="1"/>
  <c r="E136" i="31"/>
  <c r="F136" i="31" s="1"/>
  <c r="E140" i="31"/>
  <c r="F140" i="31" s="1"/>
  <c r="E144" i="31"/>
  <c r="F144" i="31" s="1"/>
  <c r="E148" i="31"/>
  <c r="F148" i="31" s="1"/>
  <c r="E152" i="31"/>
  <c r="F152" i="31" s="1"/>
  <c r="E156" i="31"/>
  <c r="F156" i="31" s="1"/>
  <c r="E160" i="31"/>
  <c r="F160" i="31" s="1"/>
  <c r="E164" i="31"/>
  <c r="F164" i="31" s="1"/>
  <c r="E168" i="31"/>
  <c r="F168" i="31" s="1"/>
  <c r="E5" i="31"/>
  <c r="F5" i="31" s="1"/>
  <c r="E9" i="31"/>
  <c r="F9" i="31" s="1"/>
  <c r="E13" i="31"/>
  <c r="F13" i="31" s="1"/>
  <c r="E17" i="31"/>
  <c r="F17" i="31" s="1"/>
  <c r="E21" i="31"/>
  <c r="F21" i="31" s="1"/>
  <c r="E25" i="31"/>
  <c r="F25" i="31" s="1"/>
  <c r="E29" i="31"/>
  <c r="F29" i="31" s="1"/>
  <c r="E33" i="31"/>
  <c r="F33" i="31" s="1"/>
  <c r="E37" i="31"/>
  <c r="F37" i="31" s="1"/>
  <c r="E41" i="31"/>
  <c r="F41" i="31" s="1"/>
  <c r="E45" i="31"/>
  <c r="F45" i="31" s="1"/>
  <c r="E49" i="31"/>
  <c r="F49" i="31" s="1"/>
  <c r="E53" i="31"/>
  <c r="F53" i="31" s="1"/>
  <c r="E57" i="31"/>
  <c r="F57" i="31" s="1"/>
  <c r="E61" i="31"/>
  <c r="F61" i="31" s="1"/>
  <c r="E65" i="31"/>
  <c r="F65" i="31" s="1"/>
  <c r="E69" i="31"/>
  <c r="F69" i="31" s="1"/>
  <c r="E73" i="31"/>
  <c r="F73" i="31" s="1"/>
  <c r="E77" i="31"/>
  <c r="F77" i="31" s="1"/>
  <c r="E81" i="31"/>
  <c r="F81" i="31" s="1"/>
  <c r="E85" i="31"/>
  <c r="F85" i="31" s="1"/>
  <c r="E89" i="31"/>
  <c r="F89" i="31" s="1"/>
  <c r="E93" i="31"/>
  <c r="F93" i="31" s="1"/>
  <c r="E97" i="31"/>
  <c r="F97" i="31" s="1"/>
  <c r="E101" i="31"/>
  <c r="F101" i="31" s="1"/>
  <c r="E105" i="31"/>
  <c r="F105" i="31" s="1"/>
  <c r="E109" i="31"/>
  <c r="F109" i="31" s="1"/>
  <c r="E113" i="31"/>
  <c r="F113" i="31" s="1"/>
  <c r="E117" i="31"/>
  <c r="F117" i="31" s="1"/>
  <c r="E121" i="31"/>
  <c r="F121" i="31" s="1"/>
  <c r="E125" i="31"/>
  <c r="F125" i="31" s="1"/>
  <c r="E129" i="31"/>
  <c r="F129" i="31" s="1"/>
  <c r="E133" i="31"/>
  <c r="F133" i="31" s="1"/>
  <c r="E137" i="31"/>
  <c r="F137" i="31" s="1"/>
  <c r="E141" i="31"/>
  <c r="F141" i="31" s="1"/>
  <c r="E145" i="31"/>
  <c r="F145" i="31" s="1"/>
  <c r="E149" i="31"/>
  <c r="F149" i="31" s="1"/>
  <c r="E153" i="31"/>
  <c r="F153" i="31" s="1"/>
  <c r="E157" i="31"/>
  <c r="F157" i="31" s="1"/>
  <c r="E161" i="31"/>
  <c r="F161" i="31" s="1"/>
  <c r="E165" i="31"/>
  <c r="F165" i="31" s="1"/>
  <c r="E169" i="31"/>
  <c r="F169" i="31" s="1"/>
  <c r="E173" i="31"/>
  <c r="F173" i="31" s="1"/>
  <c r="E177" i="31"/>
  <c r="F177" i="31" s="1"/>
  <c r="E181" i="31"/>
  <c r="F181" i="31" s="1"/>
  <c r="E185" i="31"/>
  <c r="F185" i="31" s="1"/>
  <c r="E189" i="31"/>
  <c r="F189" i="31" s="1"/>
  <c r="E193" i="31"/>
  <c r="F193" i="31" s="1"/>
  <c r="E197" i="31"/>
  <c r="F197" i="31" s="1"/>
  <c r="E201" i="31"/>
  <c r="F201" i="31" s="1"/>
  <c r="C29" i="25"/>
  <c r="E6" i="31"/>
  <c r="F6" i="31" s="1"/>
  <c r="E10" i="31"/>
  <c r="F10" i="31" s="1"/>
  <c r="E14" i="31"/>
  <c r="F14" i="31" s="1"/>
  <c r="E18" i="31"/>
  <c r="F18" i="31" s="1"/>
  <c r="E22" i="31"/>
  <c r="F22" i="31" s="1"/>
  <c r="E26" i="31"/>
  <c r="F26" i="31" s="1"/>
  <c r="E30" i="31"/>
  <c r="F30" i="31" s="1"/>
  <c r="E34" i="31"/>
  <c r="F34" i="31" s="1"/>
  <c r="E38" i="31"/>
  <c r="F38" i="31" s="1"/>
  <c r="E42" i="31"/>
  <c r="F42" i="31" s="1"/>
  <c r="E46" i="31"/>
  <c r="F46" i="31" s="1"/>
  <c r="E50" i="31"/>
  <c r="F50" i="31" s="1"/>
  <c r="E54" i="31"/>
  <c r="F54" i="31" s="1"/>
  <c r="E58" i="31"/>
  <c r="F58" i="31" s="1"/>
  <c r="E62" i="31"/>
  <c r="F62" i="31" s="1"/>
  <c r="E66" i="31"/>
  <c r="F66" i="31" s="1"/>
  <c r="E70" i="31"/>
  <c r="F70" i="31" s="1"/>
  <c r="E74" i="31"/>
  <c r="F74" i="31" s="1"/>
  <c r="E78" i="31"/>
  <c r="F78" i="31" s="1"/>
  <c r="E82" i="31"/>
  <c r="F82" i="31" s="1"/>
  <c r="E86" i="31"/>
  <c r="F86" i="31" s="1"/>
  <c r="E90" i="31"/>
  <c r="F90" i="31" s="1"/>
  <c r="E94" i="31"/>
  <c r="F94" i="31" s="1"/>
  <c r="E98" i="31"/>
  <c r="F98" i="31" s="1"/>
  <c r="E102" i="31"/>
  <c r="F102" i="31" s="1"/>
  <c r="E106" i="31"/>
  <c r="F106" i="31" s="1"/>
  <c r="E110" i="31"/>
  <c r="F110" i="31" s="1"/>
  <c r="E114" i="31"/>
  <c r="F114" i="31" s="1"/>
  <c r="E118" i="31"/>
  <c r="F118" i="31" s="1"/>
  <c r="E122" i="31"/>
  <c r="F122" i="31" s="1"/>
  <c r="E126" i="31"/>
  <c r="F126" i="31" s="1"/>
  <c r="E130" i="31"/>
  <c r="F130" i="31" s="1"/>
  <c r="E134" i="31"/>
  <c r="F134" i="31" s="1"/>
  <c r="E138" i="31"/>
  <c r="F138" i="31" s="1"/>
  <c r="E142" i="31"/>
  <c r="F142" i="31" s="1"/>
  <c r="E146" i="31"/>
  <c r="F146" i="31" s="1"/>
  <c r="E150" i="31"/>
  <c r="F150" i="31" s="1"/>
  <c r="E154" i="31"/>
  <c r="F154" i="31" s="1"/>
  <c r="E158" i="31"/>
  <c r="F158" i="31" s="1"/>
  <c r="E162" i="31"/>
  <c r="F162" i="31" s="1"/>
  <c r="E166" i="31"/>
  <c r="F166" i="31" s="1"/>
  <c r="E170" i="31"/>
  <c r="F170" i="31" s="1"/>
  <c r="E174" i="31"/>
  <c r="F174" i="31" s="1"/>
  <c r="E178" i="31"/>
  <c r="F178" i="31" s="1"/>
  <c r="E182" i="31"/>
  <c r="F182" i="31" s="1"/>
  <c r="E186" i="31"/>
  <c r="F186" i="31" s="1"/>
  <c r="E190" i="31"/>
  <c r="F190" i="31" s="1"/>
  <c r="E194" i="31"/>
  <c r="F194" i="31" s="1"/>
  <c r="E198" i="31"/>
  <c r="F198" i="31" s="1"/>
  <c r="E202" i="31"/>
  <c r="F202" i="31" s="1"/>
  <c r="E7" i="31"/>
  <c r="F7" i="31" s="1"/>
  <c r="E23" i="31"/>
  <c r="F23" i="31" s="1"/>
  <c r="E39" i="31"/>
  <c r="F39" i="31" s="1"/>
  <c r="E55" i="31"/>
  <c r="F55" i="31" s="1"/>
  <c r="E71" i="31"/>
  <c r="F71" i="31" s="1"/>
  <c r="E87" i="31"/>
  <c r="F87" i="31" s="1"/>
  <c r="E103" i="31"/>
  <c r="F103" i="31" s="1"/>
  <c r="E119" i="31"/>
  <c r="F119" i="31" s="1"/>
  <c r="E135" i="31"/>
  <c r="F135" i="31" s="1"/>
  <c r="E151" i="31"/>
  <c r="F151" i="31" s="1"/>
  <c r="E167" i="31"/>
  <c r="F167" i="31" s="1"/>
  <c r="E176" i="31"/>
  <c r="F176" i="31" s="1"/>
  <c r="E184" i="31"/>
  <c r="F184" i="31" s="1"/>
  <c r="E192" i="31"/>
  <c r="F192" i="31" s="1"/>
  <c r="E200" i="31"/>
  <c r="F200" i="31" s="1"/>
  <c r="E15" i="31"/>
  <c r="F15" i="31" s="1"/>
  <c r="E47" i="31"/>
  <c r="F47" i="31" s="1"/>
  <c r="E79" i="31"/>
  <c r="F79" i="31" s="1"/>
  <c r="E111" i="31"/>
  <c r="F111" i="31" s="1"/>
  <c r="E143" i="31"/>
  <c r="F143" i="31" s="1"/>
  <c r="E172" i="31"/>
  <c r="F172" i="31" s="1"/>
  <c r="E180" i="31"/>
  <c r="F180" i="31" s="1"/>
  <c r="E196" i="31"/>
  <c r="F196" i="31" s="1"/>
  <c r="E35" i="31"/>
  <c r="F35" i="31" s="1"/>
  <c r="E11" i="31"/>
  <c r="F11" i="31" s="1"/>
  <c r="E27" i="31"/>
  <c r="F27" i="31" s="1"/>
  <c r="E43" i="31"/>
  <c r="F43" i="31" s="1"/>
  <c r="E59" i="31"/>
  <c r="F59" i="31" s="1"/>
  <c r="E75" i="31"/>
  <c r="F75" i="31" s="1"/>
  <c r="E91" i="31"/>
  <c r="F91" i="31" s="1"/>
  <c r="E107" i="31"/>
  <c r="F107" i="31" s="1"/>
  <c r="E123" i="31"/>
  <c r="F123" i="31" s="1"/>
  <c r="E139" i="31"/>
  <c r="F139" i="31" s="1"/>
  <c r="E155" i="31"/>
  <c r="F155" i="31" s="1"/>
  <c r="E171" i="31"/>
  <c r="F171" i="31" s="1"/>
  <c r="E179" i="31"/>
  <c r="F179" i="31" s="1"/>
  <c r="E187" i="31"/>
  <c r="F187" i="31" s="1"/>
  <c r="E195" i="31"/>
  <c r="F195" i="31" s="1"/>
  <c r="E203" i="31"/>
  <c r="F203" i="31" s="1"/>
  <c r="E31" i="31"/>
  <c r="F31" i="31" s="1"/>
  <c r="E63" i="31"/>
  <c r="F63" i="31" s="1"/>
  <c r="E95" i="31"/>
  <c r="F95" i="31" s="1"/>
  <c r="E127" i="31"/>
  <c r="F127" i="31" s="1"/>
  <c r="E159" i="31"/>
  <c r="F159" i="31" s="1"/>
  <c r="E188" i="31"/>
  <c r="F188" i="31" s="1"/>
  <c r="E204" i="31"/>
  <c r="F204" i="31" s="1"/>
  <c r="E19" i="31"/>
  <c r="F19" i="31" s="1"/>
  <c r="E51" i="31"/>
  <c r="F51" i="31" s="1"/>
  <c r="E67" i="31"/>
  <c r="F67" i="31" s="1"/>
  <c r="E131" i="31"/>
  <c r="F131" i="31" s="1"/>
  <c r="E183" i="31"/>
  <c r="F183" i="31" s="1"/>
  <c r="E99" i="31"/>
  <c r="F99" i="31" s="1"/>
  <c r="E199" i="31"/>
  <c r="F199" i="31" s="1"/>
  <c r="E175" i="31"/>
  <c r="F175" i="31" s="1"/>
  <c r="E83" i="31"/>
  <c r="F83" i="31" s="1"/>
  <c r="E147" i="31"/>
  <c r="F147" i="31" s="1"/>
  <c r="E191" i="31"/>
  <c r="F191" i="31" s="1"/>
  <c r="E163" i="31"/>
  <c r="F163" i="31" s="1"/>
  <c r="E115" i="31"/>
  <c r="F115" i="31" s="1"/>
  <c r="C6" i="31"/>
  <c r="D6" i="31" s="1"/>
  <c r="C10" i="31"/>
  <c r="D10" i="31" s="1"/>
  <c r="C14" i="31"/>
  <c r="D14" i="31" s="1"/>
  <c r="C18" i="31"/>
  <c r="D18" i="31" s="1"/>
  <c r="C22" i="31"/>
  <c r="D22" i="31" s="1"/>
  <c r="C26" i="31"/>
  <c r="D26" i="31" s="1"/>
  <c r="C30" i="31"/>
  <c r="D30" i="31" s="1"/>
  <c r="C34" i="31"/>
  <c r="D34" i="31" s="1"/>
  <c r="C38" i="31"/>
  <c r="D38" i="31" s="1"/>
  <c r="C42" i="31"/>
  <c r="D42" i="31" s="1"/>
  <c r="C46" i="31"/>
  <c r="D46" i="31" s="1"/>
  <c r="C50" i="31"/>
  <c r="D50" i="31" s="1"/>
  <c r="C54" i="31"/>
  <c r="D54" i="31" s="1"/>
  <c r="C58" i="31"/>
  <c r="D58" i="31" s="1"/>
  <c r="C62" i="31"/>
  <c r="D62" i="31" s="1"/>
  <c r="C66" i="31"/>
  <c r="D66" i="31" s="1"/>
  <c r="C70" i="31"/>
  <c r="D70" i="31" s="1"/>
  <c r="C74" i="31"/>
  <c r="D74" i="31" s="1"/>
  <c r="C78" i="31"/>
  <c r="D78" i="31" s="1"/>
  <c r="C82" i="31"/>
  <c r="D82" i="31" s="1"/>
  <c r="C86" i="31"/>
  <c r="D86" i="31" s="1"/>
  <c r="C90" i="31"/>
  <c r="D90" i="31" s="1"/>
  <c r="C94" i="31"/>
  <c r="D94" i="31" s="1"/>
  <c r="C98" i="31"/>
  <c r="D98" i="31" s="1"/>
  <c r="C102" i="31"/>
  <c r="D102" i="31" s="1"/>
  <c r="C106" i="31"/>
  <c r="D106" i="31" s="1"/>
  <c r="C110" i="31"/>
  <c r="D110" i="31" s="1"/>
  <c r="C114" i="31"/>
  <c r="D114" i="31" s="1"/>
  <c r="C118" i="31"/>
  <c r="D118" i="31" s="1"/>
  <c r="C122" i="31"/>
  <c r="D122" i="31" s="1"/>
  <c r="C126" i="31"/>
  <c r="D126" i="31" s="1"/>
  <c r="C130" i="31"/>
  <c r="D130" i="31" s="1"/>
  <c r="C134" i="31"/>
  <c r="D134" i="31" s="1"/>
  <c r="C138" i="31"/>
  <c r="D138" i="31" s="1"/>
  <c r="C142" i="31"/>
  <c r="D142" i="31" s="1"/>
  <c r="C146" i="31"/>
  <c r="D146" i="31" s="1"/>
  <c r="C150" i="31"/>
  <c r="D150" i="31" s="1"/>
  <c r="C154" i="31"/>
  <c r="D154" i="31" s="1"/>
  <c r="C158" i="31"/>
  <c r="D158" i="31" s="1"/>
  <c r="C162" i="31"/>
  <c r="D162" i="31" s="1"/>
  <c r="C166" i="31"/>
  <c r="D166" i="31" s="1"/>
  <c r="C170" i="31"/>
  <c r="D170" i="31" s="1"/>
  <c r="C174" i="31"/>
  <c r="D174" i="31" s="1"/>
  <c r="C178" i="31"/>
  <c r="D178" i="31" s="1"/>
  <c r="C182" i="31"/>
  <c r="D182" i="31" s="1"/>
  <c r="C186" i="31"/>
  <c r="D186" i="31" s="1"/>
  <c r="C190" i="31"/>
  <c r="D190" i="31" s="1"/>
  <c r="C194" i="31"/>
  <c r="D194" i="31" s="1"/>
  <c r="C198" i="31"/>
  <c r="D198" i="31" s="1"/>
  <c r="C202" i="31"/>
  <c r="D202" i="31" s="1"/>
  <c r="C135" i="31"/>
  <c r="D135" i="31" s="1"/>
  <c r="C139" i="31"/>
  <c r="D139" i="31" s="1"/>
  <c r="C143" i="31"/>
  <c r="D143" i="31" s="1"/>
  <c r="C147" i="31"/>
  <c r="D147" i="31" s="1"/>
  <c r="C151" i="31"/>
  <c r="D151" i="31" s="1"/>
  <c r="C155" i="31"/>
  <c r="D155" i="31" s="1"/>
  <c r="C159" i="31"/>
  <c r="D159" i="31" s="1"/>
  <c r="C163" i="31"/>
  <c r="D163" i="31" s="1"/>
  <c r="C167" i="31"/>
  <c r="D167" i="31" s="1"/>
  <c r="C171" i="31"/>
  <c r="D171" i="31" s="1"/>
  <c r="C175" i="31"/>
  <c r="D175" i="31" s="1"/>
  <c r="C179" i="31"/>
  <c r="D179" i="31" s="1"/>
  <c r="C183" i="31"/>
  <c r="D183" i="31" s="1"/>
  <c r="C187" i="31"/>
  <c r="D187" i="31" s="1"/>
  <c r="C191" i="31"/>
  <c r="D191" i="31" s="1"/>
  <c r="C195" i="31"/>
  <c r="D195" i="31" s="1"/>
  <c r="C199" i="31"/>
  <c r="D199" i="31" s="1"/>
  <c r="C203" i="31"/>
  <c r="D203" i="31" s="1"/>
  <c r="C8" i="31"/>
  <c r="D8" i="31" s="1"/>
  <c r="C12" i="31"/>
  <c r="D12" i="31" s="1"/>
  <c r="C16" i="31"/>
  <c r="D16" i="31" s="1"/>
  <c r="C20" i="31"/>
  <c r="D20" i="31" s="1"/>
  <c r="C7" i="31"/>
  <c r="D7" i="31" s="1"/>
  <c r="C11" i="31"/>
  <c r="D11" i="31" s="1"/>
  <c r="C15" i="31"/>
  <c r="D15" i="31" s="1"/>
  <c r="C19" i="31"/>
  <c r="D19" i="31" s="1"/>
  <c r="C23" i="31"/>
  <c r="D23" i="31" s="1"/>
  <c r="C27" i="31"/>
  <c r="D27" i="31" s="1"/>
  <c r="C31" i="31"/>
  <c r="D31" i="31" s="1"/>
  <c r="C35" i="31"/>
  <c r="D35" i="31" s="1"/>
  <c r="C39" i="31"/>
  <c r="D39" i="31" s="1"/>
  <c r="C43" i="31"/>
  <c r="D43" i="31" s="1"/>
  <c r="C47" i="31"/>
  <c r="D47" i="31" s="1"/>
  <c r="C51" i="31"/>
  <c r="D51" i="31" s="1"/>
  <c r="C55" i="31"/>
  <c r="D55" i="31" s="1"/>
  <c r="C59" i="31"/>
  <c r="D59" i="31" s="1"/>
  <c r="C63" i="31"/>
  <c r="D63" i="31" s="1"/>
  <c r="C67" i="31"/>
  <c r="D67" i="31" s="1"/>
  <c r="C71" i="31"/>
  <c r="D71" i="31" s="1"/>
  <c r="C75" i="31"/>
  <c r="D75" i="31" s="1"/>
  <c r="C79" i="31"/>
  <c r="D79" i="31" s="1"/>
  <c r="C83" i="31"/>
  <c r="D83" i="31" s="1"/>
  <c r="C87" i="31"/>
  <c r="D87" i="31" s="1"/>
  <c r="C91" i="31"/>
  <c r="D91" i="31" s="1"/>
  <c r="C95" i="31"/>
  <c r="D95" i="31" s="1"/>
  <c r="C99" i="31"/>
  <c r="D99" i="31" s="1"/>
  <c r="C103" i="31"/>
  <c r="D103" i="31" s="1"/>
  <c r="C107" i="31"/>
  <c r="D107" i="31" s="1"/>
  <c r="C111" i="31"/>
  <c r="D111" i="31" s="1"/>
  <c r="C115" i="31"/>
  <c r="D115" i="31" s="1"/>
  <c r="C119" i="31"/>
  <c r="D119" i="31" s="1"/>
  <c r="C123" i="31"/>
  <c r="D123" i="31" s="1"/>
  <c r="C127" i="31"/>
  <c r="D127" i="31" s="1"/>
  <c r="C131" i="31"/>
  <c r="D131" i="31" s="1"/>
  <c r="C9" i="31"/>
  <c r="D9" i="31" s="1"/>
  <c r="C24" i="31"/>
  <c r="D24" i="31" s="1"/>
  <c r="C32" i="31"/>
  <c r="D32" i="31" s="1"/>
  <c r="C40" i="31"/>
  <c r="D40" i="31" s="1"/>
  <c r="C48" i="31"/>
  <c r="D48" i="31" s="1"/>
  <c r="C56" i="31"/>
  <c r="D56" i="31" s="1"/>
  <c r="C64" i="31"/>
  <c r="D64" i="31" s="1"/>
  <c r="C72" i="31"/>
  <c r="D72" i="31" s="1"/>
  <c r="C80" i="31"/>
  <c r="D80" i="31" s="1"/>
  <c r="C88" i="31"/>
  <c r="D88" i="31" s="1"/>
  <c r="C96" i="31"/>
  <c r="D96" i="31" s="1"/>
  <c r="C104" i="31"/>
  <c r="D104" i="31" s="1"/>
  <c r="C112" i="31"/>
  <c r="D112" i="31" s="1"/>
  <c r="C120" i="31"/>
  <c r="D120" i="31" s="1"/>
  <c r="C128" i="31"/>
  <c r="D128" i="31" s="1"/>
  <c r="C136" i="31"/>
  <c r="D136" i="31" s="1"/>
  <c r="C144" i="31"/>
  <c r="D144" i="31" s="1"/>
  <c r="C152" i="31"/>
  <c r="D152" i="31" s="1"/>
  <c r="C160" i="31"/>
  <c r="D160" i="31" s="1"/>
  <c r="C168" i="31"/>
  <c r="D168" i="31" s="1"/>
  <c r="C176" i="31"/>
  <c r="D176" i="31" s="1"/>
  <c r="C184" i="31"/>
  <c r="D184" i="31" s="1"/>
  <c r="C192" i="31"/>
  <c r="D192" i="31" s="1"/>
  <c r="C200" i="31"/>
  <c r="D200" i="31" s="1"/>
  <c r="C17" i="31"/>
  <c r="D17" i="31" s="1"/>
  <c r="C36" i="31"/>
  <c r="D36" i="31" s="1"/>
  <c r="C60" i="31"/>
  <c r="D60" i="31" s="1"/>
  <c r="C68" i="31"/>
  <c r="D68" i="31" s="1"/>
  <c r="C84" i="31"/>
  <c r="D84" i="31" s="1"/>
  <c r="C100" i="31"/>
  <c r="D100" i="31" s="1"/>
  <c r="C116" i="31"/>
  <c r="D116" i="31" s="1"/>
  <c r="C132" i="31"/>
  <c r="D132" i="31" s="1"/>
  <c r="C148" i="31"/>
  <c r="D148" i="31" s="1"/>
  <c r="C164" i="31"/>
  <c r="D164" i="31" s="1"/>
  <c r="C180" i="31"/>
  <c r="D180" i="31" s="1"/>
  <c r="C196" i="31"/>
  <c r="D196" i="31" s="1"/>
  <c r="C21" i="31"/>
  <c r="D21" i="31" s="1"/>
  <c r="C37" i="31"/>
  <c r="D37" i="31" s="1"/>
  <c r="C53" i="31"/>
  <c r="D53" i="31" s="1"/>
  <c r="C69" i="31"/>
  <c r="D69" i="31" s="1"/>
  <c r="C85" i="31"/>
  <c r="D85" i="31" s="1"/>
  <c r="C109" i="31"/>
  <c r="D109" i="31" s="1"/>
  <c r="C125" i="31"/>
  <c r="D125" i="31" s="1"/>
  <c r="C141" i="31"/>
  <c r="D141" i="31" s="1"/>
  <c r="C157" i="31"/>
  <c r="D157" i="31" s="1"/>
  <c r="C173" i="31"/>
  <c r="D173" i="31" s="1"/>
  <c r="C189" i="31"/>
  <c r="D189" i="31" s="1"/>
  <c r="C5" i="31"/>
  <c r="D5" i="31" s="1"/>
  <c r="C13" i="31"/>
  <c r="D13" i="31" s="1"/>
  <c r="C25" i="31"/>
  <c r="D25" i="31" s="1"/>
  <c r="C33" i="31"/>
  <c r="D33" i="31" s="1"/>
  <c r="C41" i="31"/>
  <c r="D41" i="31" s="1"/>
  <c r="C49" i="31"/>
  <c r="D49" i="31" s="1"/>
  <c r="C57" i="31"/>
  <c r="D57" i="31" s="1"/>
  <c r="C65" i="31"/>
  <c r="D65" i="31" s="1"/>
  <c r="C73" i="31"/>
  <c r="D73" i="31" s="1"/>
  <c r="C81" i="31"/>
  <c r="D81" i="31" s="1"/>
  <c r="C89" i="31"/>
  <c r="D89" i="31" s="1"/>
  <c r="C97" i="31"/>
  <c r="D97" i="31" s="1"/>
  <c r="C105" i="31"/>
  <c r="D105" i="31" s="1"/>
  <c r="C113" i="31"/>
  <c r="D113" i="31" s="1"/>
  <c r="C121" i="31"/>
  <c r="D121" i="31" s="1"/>
  <c r="C129" i="31"/>
  <c r="D129" i="31" s="1"/>
  <c r="C137" i="31"/>
  <c r="D137" i="31" s="1"/>
  <c r="C145" i="31"/>
  <c r="D145" i="31" s="1"/>
  <c r="C153" i="31"/>
  <c r="D153" i="31" s="1"/>
  <c r="C161" i="31"/>
  <c r="D161" i="31" s="1"/>
  <c r="C169" i="31"/>
  <c r="D169" i="31" s="1"/>
  <c r="C177" i="31"/>
  <c r="D177" i="31" s="1"/>
  <c r="C185" i="31"/>
  <c r="D185" i="31" s="1"/>
  <c r="C193" i="31"/>
  <c r="D193" i="31" s="1"/>
  <c r="C201" i="31"/>
  <c r="D201" i="31" s="1"/>
  <c r="C28" i="31"/>
  <c r="D28" i="31" s="1"/>
  <c r="C44" i="31"/>
  <c r="D44" i="31" s="1"/>
  <c r="C52" i="31"/>
  <c r="D52" i="31" s="1"/>
  <c r="C76" i="31"/>
  <c r="D76" i="31" s="1"/>
  <c r="C92" i="31"/>
  <c r="D92" i="31" s="1"/>
  <c r="C108" i="31"/>
  <c r="D108" i="31" s="1"/>
  <c r="C124" i="31"/>
  <c r="D124" i="31" s="1"/>
  <c r="C140" i="31"/>
  <c r="D140" i="31" s="1"/>
  <c r="C156" i="31"/>
  <c r="D156" i="31" s="1"/>
  <c r="C172" i="31"/>
  <c r="D172" i="31" s="1"/>
  <c r="C188" i="31"/>
  <c r="D188" i="31" s="1"/>
  <c r="C204" i="31"/>
  <c r="D204" i="31" s="1"/>
  <c r="C29" i="31"/>
  <c r="D29" i="31" s="1"/>
  <c r="C45" i="31"/>
  <c r="D45" i="31" s="1"/>
  <c r="C61" i="31"/>
  <c r="D61" i="31" s="1"/>
  <c r="C77" i="31"/>
  <c r="D77" i="31" s="1"/>
  <c r="C93" i="31"/>
  <c r="D93" i="31" s="1"/>
  <c r="C101" i="31"/>
  <c r="D101" i="31" s="1"/>
  <c r="C117" i="31"/>
  <c r="D117" i="31" s="1"/>
  <c r="C133" i="31"/>
  <c r="D133" i="31" s="1"/>
  <c r="C149" i="31"/>
  <c r="D149" i="31" s="1"/>
  <c r="C165" i="31"/>
  <c r="D165" i="31" s="1"/>
  <c r="C181" i="31"/>
  <c r="D181" i="31" s="1"/>
  <c r="C197" i="31"/>
  <c r="D197" i="31" s="1"/>
  <c r="Y38" i="20"/>
  <c r="V39" i="22"/>
  <c r="V38" i="22"/>
  <c r="V40" i="22"/>
  <c r="V36" i="22"/>
  <c r="V41" i="22"/>
  <c r="V37" i="22"/>
  <c r="S4" i="23"/>
  <c r="S35" i="23"/>
  <c r="S39" i="23" s="1"/>
  <c r="V4" i="23"/>
  <c r="V35" i="23"/>
  <c r="V38" i="23" s="1"/>
  <c r="P4" i="23"/>
  <c r="P35" i="23"/>
  <c r="P37" i="23" s="1"/>
  <c r="Y4" i="23"/>
  <c r="Y35" i="23"/>
  <c r="Y37" i="23" s="1"/>
  <c r="M4" i="23"/>
  <c r="M35" i="23"/>
  <c r="M38" i="23" s="1"/>
  <c r="M4" i="22"/>
  <c r="M35" i="22"/>
  <c r="M38" i="22" s="1"/>
  <c r="V4" i="22"/>
  <c r="V35" i="22"/>
  <c r="S4" i="22"/>
  <c r="S35" i="22"/>
  <c r="S41" i="22" s="1"/>
  <c r="Y4" i="22"/>
  <c r="Y35" i="22"/>
  <c r="Y40" i="22" s="1"/>
  <c r="P4" i="22"/>
  <c r="P35" i="22"/>
  <c r="P38" i="22" s="1"/>
  <c r="M4" i="19"/>
  <c r="M35" i="19"/>
  <c r="M41" i="19" s="1"/>
  <c r="S35" i="19"/>
  <c r="S41" i="19" s="1"/>
  <c r="Y35" i="19"/>
  <c r="Y41" i="19" s="1"/>
  <c r="P35" i="19"/>
  <c r="P40" i="19" s="1"/>
  <c r="V35" i="19"/>
  <c r="V38" i="19" s="1"/>
  <c r="V35" i="20"/>
  <c r="V41" i="20" s="1"/>
  <c r="S35" i="20"/>
  <c r="S41" i="20" s="1"/>
  <c r="M35" i="20"/>
  <c r="M37" i="20" s="1"/>
  <c r="P35" i="20"/>
  <c r="P41" i="20" s="1"/>
  <c r="Y35" i="20"/>
  <c r="Y40" i="20" s="1"/>
  <c r="V28" i="20"/>
  <c r="V32" i="20"/>
  <c r="V31" i="20"/>
  <c r="V30" i="20"/>
  <c r="V34" i="20"/>
  <c r="V29" i="20"/>
  <c r="V33" i="20"/>
  <c r="P31" i="20"/>
  <c r="P30" i="20"/>
  <c r="P34" i="20"/>
  <c r="P29" i="20"/>
  <c r="P33" i="20"/>
  <c r="P28" i="20"/>
  <c r="P32" i="20"/>
  <c r="P85" i="20" s="1"/>
  <c r="S31" i="20"/>
  <c r="S30" i="20"/>
  <c r="S34" i="20"/>
  <c r="S33" i="20"/>
  <c r="S29" i="20"/>
  <c r="S28" i="20"/>
  <c r="S32" i="20"/>
  <c r="S85" i="20" s="1"/>
  <c r="M4" i="20"/>
  <c r="M30" i="20"/>
  <c r="M34" i="20"/>
  <c r="M29" i="20"/>
  <c r="M33" i="20"/>
  <c r="M28" i="20"/>
  <c r="M32" i="20"/>
  <c r="M31" i="20"/>
  <c r="Y28" i="20"/>
  <c r="Y32" i="20"/>
  <c r="Y85" i="20" s="1"/>
  <c r="Y31" i="20"/>
  <c r="Y30" i="20"/>
  <c r="Y34" i="20"/>
  <c r="Y29" i="20"/>
  <c r="Y33" i="20"/>
  <c r="V35" i="21"/>
  <c r="V41" i="21" s="1"/>
  <c r="M4" i="21"/>
  <c r="M35" i="21"/>
  <c r="M37" i="21" s="1"/>
  <c r="Y35" i="21"/>
  <c r="Y36" i="21" s="1"/>
  <c r="S35" i="21"/>
  <c r="S40" i="21" s="1"/>
  <c r="P4" i="21"/>
  <c r="P66" i="21" s="1"/>
  <c r="P35" i="21"/>
  <c r="P41" i="21" s="1"/>
  <c r="E22" i="16"/>
  <c r="P14" i="20" s="1"/>
  <c r="F22" i="16"/>
  <c r="G22" i="16"/>
  <c r="H22" i="16"/>
  <c r="Y14" i="19" s="1"/>
  <c r="E17" i="16"/>
  <c r="E18" i="16"/>
  <c r="D22" i="16"/>
  <c r="E21" i="16"/>
  <c r="P13" i="22" s="1"/>
  <c r="E20" i="16"/>
  <c r="E19" i="16"/>
  <c r="G18" i="16"/>
  <c r="V10" i="23" s="1"/>
  <c r="G20" i="16"/>
  <c r="H18" i="16"/>
  <c r="Y10" i="23" s="1"/>
  <c r="H20" i="16"/>
  <c r="Y12" i="23" s="1"/>
  <c r="F17" i="16"/>
  <c r="F19" i="16"/>
  <c r="F21" i="16"/>
  <c r="F20" i="16"/>
  <c r="G17" i="16"/>
  <c r="G19" i="16"/>
  <c r="V11" i="21" s="1"/>
  <c r="G21" i="16"/>
  <c r="V13" i="23" s="1"/>
  <c r="F18" i="16"/>
  <c r="H17" i="16"/>
  <c r="Y9" i="22" s="1"/>
  <c r="H19" i="16"/>
  <c r="Y11" i="23" s="1"/>
  <c r="H21" i="16"/>
  <c r="Y13" i="23" s="1"/>
  <c r="Y4" i="20"/>
  <c r="S4" i="20"/>
  <c r="P4" i="20"/>
  <c r="V4" i="20"/>
  <c r="Y34" i="19"/>
  <c r="Y4" i="19"/>
  <c r="S34" i="19"/>
  <c r="S4" i="19"/>
  <c r="P34" i="19"/>
  <c r="P4" i="19"/>
  <c r="V34" i="19"/>
  <c r="V4" i="19"/>
  <c r="S34" i="21"/>
  <c r="S4" i="21"/>
  <c r="Y34" i="21"/>
  <c r="Y4" i="21"/>
  <c r="V34" i="21"/>
  <c r="V4" i="21"/>
  <c r="D17" i="16"/>
  <c r="D18" i="16"/>
  <c r="D20" i="16"/>
  <c r="D19" i="16"/>
  <c r="D21" i="16"/>
  <c r="M6" i="22"/>
  <c r="M8" i="22"/>
  <c r="M7" i="22"/>
  <c r="M7" i="23"/>
  <c r="M8" i="23"/>
  <c r="M6" i="23"/>
  <c r="M34" i="19"/>
  <c r="M6" i="19"/>
  <c r="M7" i="19"/>
  <c r="M8" i="19"/>
  <c r="M8" i="20"/>
  <c r="M7" i="20"/>
  <c r="M6" i="20"/>
  <c r="M34" i="21"/>
  <c r="M8" i="21"/>
  <c r="M7" i="21"/>
  <c r="M6" i="21"/>
  <c r="P34" i="21"/>
  <c r="P6" i="21"/>
  <c r="V32" i="23"/>
  <c r="V85" i="23" s="1"/>
  <c r="V25" i="23"/>
  <c r="V27" i="23"/>
  <c r="V19" i="23"/>
  <c r="V18" i="23"/>
  <c r="V6" i="23"/>
  <c r="V26" i="23"/>
  <c r="V29" i="23"/>
  <c r="V28" i="23"/>
  <c r="V22" i="23"/>
  <c r="V34" i="23"/>
  <c r="V30" i="23"/>
  <c r="V17" i="23"/>
  <c r="V33" i="23"/>
  <c r="V16" i="23"/>
  <c r="V23" i="23"/>
  <c r="V5" i="23"/>
  <c r="V21" i="23"/>
  <c r="V20" i="23"/>
  <c r="V15" i="23"/>
  <c r="V31" i="23"/>
  <c r="V7" i="23"/>
  <c r="V8" i="23"/>
  <c r="V24" i="23"/>
  <c r="V32" i="22"/>
  <c r="V77" i="22" s="1"/>
  <c r="V15" i="22"/>
  <c r="V28" i="22"/>
  <c r="V34" i="22"/>
  <c r="V23" i="22"/>
  <c r="V19" i="22"/>
  <c r="V5" i="22"/>
  <c r="V27" i="22"/>
  <c r="V29" i="22"/>
  <c r="V25" i="22"/>
  <c r="V31" i="22"/>
  <c r="V30" i="22"/>
  <c r="V24" i="22"/>
  <c r="V20" i="22"/>
  <c r="V26" i="22"/>
  <c r="V22" i="22"/>
  <c r="V16" i="22"/>
  <c r="V6" i="22"/>
  <c r="V21" i="22"/>
  <c r="V17" i="22"/>
  <c r="V8" i="22"/>
  <c r="V7" i="22"/>
  <c r="V33" i="22"/>
  <c r="V18" i="22"/>
  <c r="M32" i="22"/>
  <c r="M77" i="22" s="1"/>
  <c r="M34" i="22"/>
  <c r="M26" i="22"/>
  <c r="M18" i="22"/>
  <c r="M22" i="22"/>
  <c r="M27" i="22"/>
  <c r="M19" i="22"/>
  <c r="M31" i="22"/>
  <c r="M23" i="22"/>
  <c r="M15" i="22"/>
  <c r="M30" i="22"/>
  <c r="M17" i="22"/>
  <c r="M29" i="22"/>
  <c r="M20" i="22"/>
  <c r="M33" i="22"/>
  <c r="M16" i="22"/>
  <c r="M21" i="22"/>
  <c r="M24" i="22"/>
  <c r="M25" i="22"/>
  <c r="M5" i="22"/>
  <c r="M28" i="22"/>
  <c r="S31" i="22"/>
  <c r="S5" i="22"/>
  <c r="S17" i="22"/>
  <c r="S18" i="22"/>
  <c r="S29" i="22"/>
  <c r="S20" i="22"/>
  <c r="S30" i="22"/>
  <c r="S7" i="22"/>
  <c r="S23" i="22"/>
  <c r="S26" i="22"/>
  <c r="S16" i="22"/>
  <c r="S21" i="22"/>
  <c r="S33" i="22"/>
  <c r="S8" i="22"/>
  <c r="S24" i="22"/>
  <c r="S22" i="22"/>
  <c r="S27" i="22"/>
  <c r="S32" i="22"/>
  <c r="S34" i="22"/>
  <c r="S28" i="22"/>
  <c r="S25" i="22"/>
  <c r="S15" i="22"/>
  <c r="S6" i="22"/>
  <c r="S19" i="22"/>
  <c r="P31" i="23"/>
  <c r="P27" i="23"/>
  <c r="P25" i="23"/>
  <c r="P28" i="23"/>
  <c r="P22" i="23"/>
  <c r="P5" i="23"/>
  <c r="P17" i="23"/>
  <c r="P16" i="23"/>
  <c r="P32" i="23"/>
  <c r="P15" i="23"/>
  <c r="P20" i="23"/>
  <c r="P19" i="23"/>
  <c r="P30" i="23"/>
  <c r="P6" i="23"/>
  <c r="P18" i="23"/>
  <c r="P21" i="23"/>
  <c r="P26" i="23"/>
  <c r="P29" i="23"/>
  <c r="P34" i="23"/>
  <c r="P8" i="23"/>
  <c r="P24" i="23"/>
  <c r="P7" i="23"/>
  <c r="P23" i="23"/>
  <c r="P33" i="23"/>
  <c r="S31" i="23"/>
  <c r="S17" i="23"/>
  <c r="S24" i="23"/>
  <c r="S18" i="23"/>
  <c r="S34" i="23"/>
  <c r="S19" i="23"/>
  <c r="S5" i="23"/>
  <c r="S21" i="23"/>
  <c r="S33" i="23"/>
  <c r="S16" i="23"/>
  <c r="S28" i="23"/>
  <c r="S32" i="23"/>
  <c r="S85" i="23" s="1"/>
  <c r="S22" i="23"/>
  <c r="S7" i="23"/>
  <c r="S23" i="23"/>
  <c r="S25" i="23"/>
  <c r="S26" i="23"/>
  <c r="S8" i="23"/>
  <c r="S20" i="23"/>
  <c r="S27" i="23"/>
  <c r="S6" i="23"/>
  <c r="S30" i="23"/>
  <c r="S29" i="23"/>
  <c r="S15" i="23"/>
  <c r="P32" i="22"/>
  <c r="P77" i="22" s="1"/>
  <c r="P31" i="22"/>
  <c r="P23" i="22"/>
  <c r="P15" i="22"/>
  <c r="P7" i="22"/>
  <c r="P27" i="22"/>
  <c r="P30" i="22"/>
  <c r="P22" i="22"/>
  <c r="P6" i="22"/>
  <c r="P19" i="22"/>
  <c r="P34" i="22"/>
  <c r="P26" i="22"/>
  <c r="P18" i="22"/>
  <c r="P17" i="22"/>
  <c r="P8" i="22"/>
  <c r="P5" i="22"/>
  <c r="P28" i="22"/>
  <c r="P16" i="22"/>
  <c r="P24" i="22"/>
  <c r="P25" i="22"/>
  <c r="P33" i="22"/>
  <c r="P29" i="22"/>
  <c r="P21" i="22"/>
  <c r="P20" i="22"/>
  <c r="Y32" i="22"/>
  <c r="Y77" i="22" s="1"/>
  <c r="Y5" i="22"/>
  <c r="Y16" i="22"/>
  <c r="Y33" i="22"/>
  <c r="Y7" i="22"/>
  <c r="Y18" i="22"/>
  <c r="Y20" i="22"/>
  <c r="Y19" i="22"/>
  <c r="Y30" i="22"/>
  <c r="Y21" i="22"/>
  <c r="Y22" i="22"/>
  <c r="Y25" i="22"/>
  <c r="Y15" i="22"/>
  <c r="Y26" i="22"/>
  <c r="Y6" i="22"/>
  <c r="Y31" i="22"/>
  <c r="Y8" i="22"/>
  <c r="Y24" i="22"/>
  <c r="Y34" i="22"/>
  <c r="Y27" i="22"/>
  <c r="Y17" i="22"/>
  <c r="Y23" i="22"/>
  <c r="Y28" i="22"/>
  <c r="Y29" i="22"/>
  <c r="M34" i="23"/>
  <c r="M23" i="23"/>
  <c r="M32" i="23"/>
  <c r="M15" i="23"/>
  <c r="M19" i="23"/>
  <c r="M28" i="23"/>
  <c r="M5" i="23"/>
  <c r="M27" i="23"/>
  <c r="M29" i="23"/>
  <c r="M30" i="23"/>
  <c r="M24" i="23"/>
  <c r="M31" i="23"/>
  <c r="M26" i="23"/>
  <c r="M25" i="23"/>
  <c r="M20" i="23"/>
  <c r="M16" i="23"/>
  <c r="M21" i="23"/>
  <c r="M22" i="23"/>
  <c r="M18" i="23"/>
  <c r="M17" i="23"/>
  <c r="M33" i="23"/>
  <c r="Y32" i="23"/>
  <c r="Y31" i="23"/>
  <c r="Y30" i="23"/>
  <c r="Y15" i="23"/>
  <c r="Y18" i="23"/>
  <c r="Y25" i="23"/>
  <c r="Y19" i="23"/>
  <c r="Y20" i="23"/>
  <c r="Y23" i="23"/>
  <c r="Y5" i="23"/>
  <c r="Y8" i="23"/>
  <c r="Y24" i="23"/>
  <c r="Y16" i="23"/>
  <c r="Y6" i="23"/>
  <c r="Y22" i="23"/>
  <c r="Y34" i="23"/>
  <c r="Y17" i="23"/>
  <c r="Y29" i="23"/>
  <c r="Y26" i="23"/>
  <c r="Y33" i="23"/>
  <c r="Y27" i="23"/>
  <c r="Y21" i="23"/>
  <c r="Y28" i="23"/>
  <c r="Y7" i="23"/>
  <c r="S32" i="21"/>
  <c r="S71" i="21" s="1"/>
  <c r="S21" i="21"/>
  <c r="S25" i="21"/>
  <c r="S29" i="21"/>
  <c r="S6" i="21"/>
  <c r="S18" i="21"/>
  <c r="S19" i="21"/>
  <c r="S7" i="21"/>
  <c r="S22" i="21"/>
  <c r="S16" i="21"/>
  <c r="S27" i="21"/>
  <c r="S15" i="21"/>
  <c r="S17" i="21"/>
  <c r="S26" i="21"/>
  <c r="S30" i="21"/>
  <c r="S5" i="21"/>
  <c r="S20" i="21"/>
  <c r="S23" i="21"/>
  <c r="S33" i="21"/>
  <c r="S28" i="21"/>
  <c r="S31" i="21"/>
  <c r="S8" i="21"/>
  <c r="S24" i="21"/>
  <c r="V26" i="19"/>
  <c r="V19" i="19"/>
  <c r="V25" i="19"/>
  <c r="V20" i="19"/>
  <c r="V8" i="19"/>
  <c r="V7" i="19"/>
  <c r="V6" i="19"/>
  <c r="V18" i="19"/>
  <c r="V33" i="19"/>
  <c r="V30" i="19"/>
  <c r="V31" i="19"/>
  <c r="V5" i="19"/>
  <c r="V17" i="19"/>
  <c r="V23" i="19"/>
  <c r="V32" i="19"/>
  <c r="V68" i="19" s="1"/>
  <c r="V24" i="19"/>
  <c r="V22" i="19"/>
  <c r="V21" i="19"/>
  <c r="V16" i="19"/>
  <c r="V28" i="19"/>
  <c r="V29" i="19"/>
  <c r="V27" i="19"/>
  <c r="V15" i="19"/>
  <c r="M27" i="19"/>
  <c r="M15" i="19"/>
  <c r="M32" i="19"/>
  <c r="M23" i="19"/>
  <c r="M19" i="19"/>
  <c r="M5" i="19"/>
  <c r="M28" i="19"/>
  <c r="M29" i="19"/>
  <c r="M30" i="19"/>
  <c r="M31" i="19"/>
  <c r="M24" i="19"/>
  <c r="M26" i="19"/>
  <c r="M22" i="19"/>
  <c r="M25" i="19"/>
  <c r="M21" i="19"/>
  <c r="M20" i="19"/>
  <c r="M16" i="19"/>
  <c r="M18" i="19"/>
  <c r="M17" i="19"/>
  <c r="M33" i="19"/>
  <c r="M30" i="21"/>
  <c r="M16" i="21"/>
  <c r="M5" i="21"/>
  <c r="M20" i="21"/>
  <c r="M15" i="21"/>
  <c r="M31" i="21"/>
  <c r="M25" i="21"/>
  <c r="M23" i="21"/>
  <c r="M18" i="21"/>
  <c r="M24" i="21"/>
  <c r="M33" i="21"/>
  <c r="M27" i="21"/>
  <c r="M26" i="21"/>
  <c r="M17" i="21"/>
  <c r="M28" i="21"/>
  <c r="M19" i="21"/>
  <c r="M21" i="21"/>
  <c r="M32" i="21"/>
  <c r="M29" i="21"/>
  <c r="M22" i="21"/>
  <c r="P24" i="19"/>
  <c r="P7" i="19"/>
  <c r="P19" i="19"/>
  <c r="P6" i="19"/>
  <c r="P17" i="19"/>
  <c r="P5" i="19"/>
  <c r="P31" i="19"/>
  <c r="P30" i="19"/>
  <c r="P16" i="19"/>
  <c r="P22" i="19"/>
  <c r="P21" i="19"/>
  <c r="P27" i="19"/>
  <c r="P29" i="19"/>
  <c r="P23" i="19"/>
  <c r="P8" i="19"/>
  <c r="P20" i="19"/>
  <c r="P15" i="19"/>
  <c r="P26" i="19"/>
  <c r="P33" i="19"/>
  <c r="P28" i="19"/>
  <c r="P18" i="19"/>
  <c r="P32" i="19"/>
  <c r="P68" i="19" s="1"/>
  <c r="P25" i="19"/>
  <c r="M24" i="20"/>
  <c r="M17" i="20"/>
  <c r="M15" i="20"/>
  <c r="M23" i="20"/>
  <c r="M18" i="20"/>
  <c r="M25" i="20"/>
  <c r="M5" i="20"/>
  <c r="M20" i="20"/>
  <c r="M19" i="20"/>
  <c r="M27" i="20"/>
  <c r="M22" i="20"/>
  <c r="M26" i="20"/>
  <c r="M21" i="20"/>
  <c r="M16" i="20"/>
  <c r="V26" i="20"/>
  <c r="V17" i="20"/>
  <c r="V25" i="20"/>
  <c r="V16" i="20"/>
  <c r="V19" i="20"/>
  <c r="V23" i="20"/>
  <c r="V7" i="20"/>
  <c r="V6" i="20"/>
  <c r="V24" i="20"/>
  <c r="V27" i="20"/>
  <c r="V5" i="20"/>
  <c r="V21" i="20"/>
  <c r="V8" i="20"/>
  <c r="V15" i="20"/>
  <c r="V18" i="20"/>
  <c r="V20" i="20"/>
  <c r="V22" i="20"/>
  <c r="V31" i="21"/>
  <c r="V18" i="21"/>
  <c r="V25" i="21"/>
  <c r="V28" i="21"/>
  <c r="V7" i="21"/>
  <c r="V22" i="21"/>
  <c r="V32" i="21"/>
  <c r="V71" i="21" s="1"/>
  <c r="V17" i="21"/>
  <c r="V6" i="21"/>
  <c r="V27" i="21"/>
  <c r="V26" i="21"/>
  <c r="V15" i="21"/>
  <c r="V33" i="21"/>
  <c r="V23" i="21"/>
  <c r="V30" i="21"/>
  <c r="V29" i="21"/>
  <c r="V8" i="21"/>
  <c r="V19" i="21"/>
  <c r="V16" i="21"/>
  <c r="V24" i="21"/>
  <c r="V5" i="21"/>
  <c r="V21" i="21"/>
  <c r="V20" i="21"/>
  <c r="P32" i="21"/>
  <c r="P30" i="21"/>
  <c r="P31" i="21"/>
  <c r="P25" i="21"/>
  <c r="P18" i="21"/>
  <c r="P19" i="21"/>
  <c r="P20" i="21"/>
  <c r="P7" i="21"/>
  <c r="P28" i="21"/>
  <c r="P15" i="21"/>
  <c r="P33" i="21"/>
  <c r="P27" i="21"/>
  <c r="P24" i="21"/>
  <c r="P17" i="21"/>
  <c r="P5" i="21"/>
  <c r="P16" i="21"/>
  <c r="P21" i="21"/>
  <c r="P26" i="21"/>
  <c r="P8" i="21"/>
  <c r="P29" i="21"/>
  <c r="P22" i="21"/>
  <c r="P23" i="21"/>
  <c r="Y32" i="19"/>
  <c r="Y68" i="19" s="1"/>
  <c r="Y26" i="19"/>
  <c r="Y21" i="19"/>
  <c r="Y16" i="19"/>
  <c r="Y23" i="19"/>
  <c r="Y24" i="19"/>
  <c r="Y15" i="19"/>
  <c r="Y31" i="19"/>
  <c r="Y25" i="19"/>
  <c r="Y20" i="19"/>
  <c r="Y18" i="19"/>
  <c r="Y7" i="19"/>
  <c r="Y19" i="19"/>
  <c r="Y33" i="19"/>
  <c r="Y28" i="19"/>
  <c r="Y6" i="19"/>
  <c r="Y22" i="19"/>
  <c r="Y17" i="19"/>
  <c r="Y29" i="19"/>
  <c r="Y5" i="19"/>
  <c r="Y27" i="19"/>
  <c r="Y30" i="19"/>
  <c r="Y8" i="19"/>
  <c r="S32" i="19"/>
  <c r="S68" i="19" s="1"/>
  <c r="S8" i="19"/>
  <c r="S24" i="19"/>
  <c r="S19" i="19"/>
  <c r="S5" i="19"/>
  <c r="S27" i="19"/>
  <c r="S30" i="19"/>
  <c r="S6" i="19"/>
  <c r="S26" i="19"/>
  <c r="S17" i="19"/>
  <c r="S29" i="19"/>
  <c r="S7" i="19"/>
  <c r="S23" i="19"/>
  <c r="S18" i="19"/>
  <c r="S28" i="19"/>
  <c r="S31" i="19"/>
  <c r="S33" i="19"/>
  <c r="S20" i="19"/>
  <c r="S15" i="19"/>
  <c r="S16" i="19"/>
  <c r="S22" i="19"/>
  <c r="S25" i="19"/>
  <c r="S21" i="19"/>
  <c r="P15" i="20"/>
  <c r="P19" i="20"/>
  <c r="P24" i="20"/>
  <c r="P22" i="20"/>
  <c r="P20" i="20"/>
  <c r="P8" i="20"/>
  <c r="P25" i="20"/>
  <c r="P27" i="20"/>
  <c r="P7" i="20"/>
  <c r="P17" i="20"/>
  <c r="P18" i="20"/>
  <c r="P6" i="20"/>
  <c r="P16" i="20"/>
  <c r="P26" i="20"/>
  <c r="P23" i="20"/>
  <c r="P5" i="20"/>
  <c r="P21" i="20"/>
  <c r="Y27" i="21"/>
  <c r="Y15" i="21"/>
  <c r="Y32" i="21"/>
  <c r="Y71" i="21" s="1"/>
  <c r="Y29" i="21"/>
  <c r="Y5" i="21"/>
  <c r="Y19" i="21"/>
  <c r="Y28" i="21"/>
  <c r="Y23" i="21"/>
  <c r="Y30" i="21"/>
  <c r="Y24" i="21"/>
  <c r="Y26" i="21"/>
  <c r="Y25" i="21"/>
  <c r="Y31" i="21"/>
  <c r="Y16" i="21"/>
  <c r="Y20" i="21"/>
  <c r="Y17" i="21"/>
  <c r="Y18" i="21"/>
  <c r="Y21" i="21"/>
  <c r="Y6" i="21"/>
  <c r="Y22" i="21"/>
  <c r="Y7" i="21"/>
  <c r="Y33" i="21"/>
  <c r="Y8" i="21"/>
  <c r="Y27" i="20"/>
  <c r="Y15" i="20"/>
  <c r="Y5" i="20"/>
  <c r="Y19" i="20"/>
  <c r="Y23" i="20"/>
  <c r="Y24" i="20"/>
  <c r="Y25" i="20"/>
  <c r="Y16" i="20"/>
  <c r="Y26" i="20"/>
  <c r="Y20" i="20"/>
  <c r="Y6" i="20"/>
  <c r="Y22" i="20"/>
  <c r="Y18" i="20"/>
  <c r="Y21" i="20"/>
  <c r="Y17" i="20"/>
  <c r="Y8" i="20"/>
  <c r="Y7" i="20"/>
  <c r="S26" i="20"/>
  <c r="S21" i="20"/>
  <c r="S25" i="20"/>
  <c r="S5" i="20"/>
  <c r="S22" i="20"/>
  <c r="S19" i="20"/>
  <c r="S27" i="20"/>
  <c r="S6" i="20"/>
  <c r="S24" i="20"/>
  <c r="S16" i="20"/>
  <c r="S7" i="20"/>
  <c r="S20" i="20"/>
  <c r="S23" i="20"/>
  <c r="S17" i="20"/>
  <c r="S8" i="20"/>
  <c r="S15" i="20"/>
  <c r="S18" i="20"/>
  <c r="M13" i="22"/>
  <c r="M10" i="22"/>
  <c r="M9" i="22"/>
  <c r="C3" i="16"/>
  <c r="C21" i="16" s="1"/>
  <c r="V14" i="21"/>
  <c r="M37" i="19" l="1"/>
  <c r="M39" i="22"/>
  <c r="M37" i="22"/>
  <c r="M41" i="22"/>
  <c r="M36" i="22"/>
  <c r="M40" i="22"/>
  <c r="Y9" i="19"/>
  <c r="Y40" i="19"/>
  <c r="Y38" i="19"/>
  <c r="Y38" i="22"/>
  <c r="Y37" i="22"/>
  <c r="Y41" i="22"/>
  <c r="Y39" i="22"/>
  <c r="Y36" i="22"/>
  <c r="V40" i="23"/>
  <c r="V39" i="23"/>
  <c r="P36" i="20"/>
  <c r="Y39" i="19"/>
  <c r="Y37" i="19"/>
  <c r="Y36" i="19"/>
  <c r="S38" i="19"/>
  <c r="P38" i="19"/>
  <c r="P37" i="19"/>
  <c r="P41" i="19"/>
  <c r="P39" i="19"/>
  <c r="P36" i="19"/>
  <c r="V40" i="19"/>
  <c r="Y39" i="20"/>
  <c r="Y37" i="20"/>
  <c r="Y41" i="20"/>
  <c r="Y36" i="20"/>
  <c r="V11" i="19"/>
  <c r="V37" i="19"/>
  <c r="V41" i="19"/>
  <c r="S77" i="22"/>
  <c r="T77" i="22" s="1"/>
  <c r="S47" i="22" s="1"/>
  <c r="P85" i="23"/>
  <c r="Q85" i="23" s="1"/>
  <c r="P47" i="23" s="1"/>
  <c r="V39" i="19"/>
  <c r="V36" i="19"/>
  <c r="M85" i="20"/>
  <c r="N85" i="20" s="1"/>
  <c r="Y40" i="21"/>
  <c r="Y39" i="21"/>
  <c r="Y37" i="21"/>
  <c r="Y38" i="21"/>
  <c r="Y41" i="21"/>
  <c r="V39" i="21"/>
  <c r="S38" i="21"/>
  <c r="Y38" i="23"/>
  <c r="Y41" i="23"/>
  <c r="Y39" i="23"/>
  <c r="S40" i="23"/>
  <c r="M37" i="23"/>
  <c r="M85" i="23"/>
  <c r="O85" i="23" s="1"/>
  <c r="M58" i="23" s="1"/>
  <c r="M68" i="19"/>
  <c r="N68" i="19" s="1"/>
  <c r="M47" i="19" s="1"/>
  <c r="M38" i="19"/>
  <c r="M39" i="19"/>
  <c r="M36" i="19"/>
  <c r="M40" i="19"/>
  <c r="S40" i="22"/>
  <c r="S37" i="22"/>
  <c r="S36" i="22"/>
  <c r="S38" i="22"/>
  <c r="S39" i="22"/>
  <c r="M71" i="21"/>
  <c r="N71" i="21" s="1"/>
  <c r="M47" i="21" s="1"/>
  <c r="Y85" i="23"/>
  <c r="Z85" i="23" s="1"/>
  <c r="Y47" i="23" s="1"/>
  <c r="U85" i="23"/>
  <c r="S58" i="23" s="1"/>
  <c r="T85" i="23"/>
  <c r="S47" i="23" s="1"/>
  <c r="X85" i="23"/>
  <c r="W85" i="23"/>
  <c r="V47" i="23" s="1"/>
  <c r="M66" i="21"/>
  <c r="O66" i="21" s="1"/>
  <c r="P71" i="21"/>
  <c r="R71" i="21" s="1"/>
  <c r="P58" i="21" s="1"/>
  <c r="P65" i="21"/>
  <c r="Q65" i="21" s="1"/>
  <c r="V85" i="20"/>
  <c r="X85" i="20" s="1"/>
  <c r="N77" i="22"/>
  <c r="M47" i="22" s="1"/>
  <c r="O77" i="22"/>
  <c r="M58" i="22" s="1"/>
  <c r="W77" i="22"/>
  <c r="V47" i="22" s="1"/>
  <c r="X77" i="22"/>
  <c r="V58" i="22" s="1"/>
  <c r="W68" i="19"/>
  <c r="V47" i="19" s="1"/>
  <c r="X68" i="19"/>
  <c r="V58" i="19" s="1"/>
  <c r="AA85" i="20"/>
  <c r="Y58" i="20" s="1"/>
  <c r="Z85" i="20"/>
  <c r="Y47" i="20" s="1"/>
  <c r="R85" i="20"/>
  <c r="P58" i="20" s="1"/>
  <c r="Q85" i="20"/>
  <c r="Z77" i="22"/>
  <c r="Y47" i="22" s="1"/>
  <c r="AA77" i="22"/>
  <c r="Y58" i="22" s="1"/>
  <c r="Q77" i="22"/>
  <c r="P47" i="22" s="1"/>
  <c r="R77" i="22"/>
  <c r="T85" i="20"/>
  <c r="S47" i="20" s="1"/>
  <c r="U85" i="20"/>
  <c r="S58" i="20" s="1"/>
  <c r="Q68" i="19"/>
  <c r="P47" i="19" s="1"/>
  <c r="R68" i="19"/>
  <c r="P58" i="19" s="1"/>
  <c r="U68" i="19"/>
  <c r="T68" i="19"/>
  <c r="S47" i="19" s="1"/>
  <c r="W71" i="21"/>
  <c r="V47" i="21" s="1"/>
  <c r="X71" i="21"/>
  <c r="V58" i="21" s="1"/>
  <c r="O85" i="20"/>
  <c r="M58" i="20" s="1"/>
  <c r="T71" i="21"/>
  <c r="U71" i="21"/>
  <c r="Z71" i="21"/>
  <c r="Y47" i="21" s="1"/>
  <c r="AA71" i="21"/>
  <c r="Y58" i="21" s="1"/>
  <c r="AA68" i="19"/>
  <c r="Y58" i="19" s="1"/>
  <c r="Z68" i="19"/>
  <c r="Y47" i="19" s="1"/>
  <c r="V39" i="20"/>
  <c r="V38" i="20"/>
  <c r="V36" i="20"/>
  <c r="V40" i="20"/>
  <c r="V37" i="20"/>
  <c r="S36" i="21"/>
  <c r="S39" i="21"/>
  <c r="S37" i="21"/>
  <c r="S41" i="21"/>
  <c r="V37" i="21"/>
  <c r="V36" i="21"/>
  <c r="V40" i="21"/>
  <c r="V13" i="21"/>
  <c r="V38" i="21"/>
  <c r="S39" i="19"/>
  <c r="S36" i="19"/>
  <c r="S40" i="19"/>
  <c r="S37" i="19"/>
  <c r="P36" i="22"/>
  <c r="P40" i="22"/>
  <c r="P41" i="22"/>
  <c r="P39" i="22"/>
  <c r="P37" i="22"/>
  <c r="Y70" i="23"/>
  <c r="Y71" i="23"/>
  <c r="Y69" i="23"/>
  <c r="Y72" i="23"/>
  <c r="V69" i="23"/>
  <c r="V72" i="23"/>
  <c r="Y36" i="23"/>
  <c r="Y40" i="23"/>
  <c r="V37" i="23"/>
  <c r="V41" i="23"/>
  <c r="V36" i="23"/>
  <c r="M14" i="23"/>
  <c r="S41" i="23"/>
  <c r="S36" i="23"/>
  <c r="S38" i="23"/>
  <c r="S37" i="23"/>
  <c r="P38" i="23"/>
  <c r="P36" i="23"/>
  <c r="P40" i="23"/>
  <c r="P41" i="23"/>
  <c r="P39" i="23"/>
  <c r="M36" i="23"/>
  <c r="M39" i="23"/>
  <c r="M40" i="23"/>
  <c r="M41" i="23"/>
  <c r="Y67" i="21"/>
  <c r="Y68" i="21"/>
  <c r="P67" i="21"/>
  <c r="P68" i="21"/>
  <c r="V67" i="21"/>
  <c r="V68" i="21"/>
  <c r="S67" i="21"/>
  <c r="S68" i="21"/>
  <c r="M68" i="21"/>
  <c r="N68" i="21" s="1"/>
  <c r="M67" i="21"/>
  <c r="M64" i="21"/>
  <c r="N64" i="21" s="1"/>
  <c r="H169" i="31"/>
  <c r="H9" i="31"/>
  <c r="H28" i="31"/>
  <c r="H67" i="31"/>
  <c r="H106" i="31"/>
  <c r="H5" i="31"/>
  <c r="H195" i="31"/>
  <c r="H10" i="31"/>
  <c r="H131" i="31"/>
  <c r="H6" i="31"/>
  <c r="H161" i="31"/>
  <c r="H8" i="31"/>
  <c r="H11" i="31"/>
  <c r="H42" i="31"/>
  <c r="H133" i="31"/>
  <c r="H156" i="31"/>
  <c r="H7" i="31"/>
  <c r="H65" i="31"/>
  <c r="H92" i="31"/>
  <c r="H170" i="31"/>
  <c r="H17" i="31"/>
  <c r="H83" i="31"/>
  <c r="H189" i="31"/>
  <c r="H14" i="31"/>
  <c r="H35" i="31"/>
  <c r="H60" i="31"/>
  <c r="H122" i="31"/>
  <c r="H49" i="31"/>
  <c r="H154" i="31"/>
  <c r="H16" i="31"/>
  <c r="H21" i="31"/>
  <c r="H165" i="31"/>
  <c r="H110" i="31"/>
  <c r="H55" i="31"/>
  <c r="H183" i="31"/>
  <c r="H144" i="31"/>
  <c r="H41" i="31"/>
  <c r="H105" i="31"/>
  <c r="H18" i="31"/>
  <c r="H82" i="31"/>
  <c r="H146" i="31"/>
  <c r="H27" i="31"/>
  <c r="H91" i="31"/>
  <c r="H155" i="31"/>
  <c r="H20" i="31"/>
  <c r="H84" i="31"/>
  <c r="H148" i="31"/>
  <c r="H145" i="31"/>
  <c r="H101" i="31"/>
  <c r="H78" i="31"/>
  <c r="H39" i="31"/>
  <c r="H167" i="31"/>
  <c r="H96" i="31"/>
  <c r="H201" i="31"/>
  <c r="H61" i="31"/>
  <c r="H129" i="31"/>
  <c r="H38" i="31"/>
  <c r="H102" i="31"/>
  <c r="H166" i="31"/>
  <c r="H31" i="31"/>
  <c r="H95" i="31"/>
  <c r="H159" i="31"/>
  <c r="H40" i="31"/>
  <c r="H104" i="31"/>
  <c r="H168" i="31"/>
  <c r="H173" i="31"/>
  <c r="H66" i="31"/>
  <c r="H130" i="31"/>
  <c r="H194" i="31"/>
  <c r="H75" i="31"/>
  <c r="H139" i="31"/>
  <c r="H203" i="31"/>
  <c r="H68" i="31"/>
  <c r="H132" i="31"/>
  <c r="H196" i="31"/>
  <c r="H69" i="31"/>
  <c r="H46" i="31"/>
  <c r="H190" i="31"/>
  <c r="H135" i="31"/>
  <c r="H64" i="31"/>
  <c r="H192" i="31"/>
  <c r="H45" i="31"/>
  <c r="H109" i="31"/>
  <c r="H22" i="31"/>
  <c r="H86" i="31"/>
  <c r="H150" i="31"/>
  <c r="H15" i="31"/>
  <c r="H79" i="31"/>
  <c r="H143" i="31"/>
  <c r="H24" i="31"/>
  <c r="H88" i="31"/>
  <c r="H152" i="31"/>
  <c r="H153" i="31"/>
  <c r="H157" i="31"/>
  <c r="H147" i="31"/>
  <c r="H33" i="31"/>
  <c r="H74" i="31"/>
  <c r="H99" i="31"/>
  <c r="H124" i="31"/>
  <c r="H19" i="31"/>
  <c r="H113" i="31"/>
  <c r="H51" i="31"/>
  <c r="H76" i="31"/>
  <c r="H53" i="31"/>
  <c r="H30" i="31"/>
  <c r="H142" i="31"/>
  <c r="H87" i="31"/>
  <c r="H48" i="31"/>
  <c r="H176" i="31"/>
  <c r="H57" i="31"/>
  <c r="H121" i="31"/>
  <c r="H34" i="31"/>
  <c r="H98" i="31"/>
  <c r="H162" i="31"/>
  <c r="H43" i="31"/>
  <c r="H107" i="31"/>
  <c r="H171" i="31"/>
  <c r="H36" i="31"/>
  <c r="H100" i="31"/>
  <c r="H164" i="31"/>
  <c r="H177" i="31"/>
  <c r="H137" i="31"/>
  <c r="H126" i="31"/>
  <c r="H71" i="31"/>
  <c r="H199" i="31"/>
  <c r="H128" i="31"/>
  <c r="H13" i="31"/>
  <c r="H77" i="31"/>
  <c r="H149" i="31"/>
  <c r="H54" i="31"/>
  <c r="H118" i="31"/>
  <c r="H182" i="31"/>
  <c r="H47" i="31"/>
  <c r="H111" i="31"/>
  <c r="H175" i="31"/>
  <c r="H56" i="31"/>
  <c r="H120" i="31"/>
  <c r="H184" i="31"/>
  <c r="H58" i="31"/>
  <c r="H44" i="31"/>
  <c r="H97" i="31"/>
  <c r="H138" i="31"/>
  <c r="H163" i="31"/>
  <c r="H188" i="31"/>
  <c r="H108" i="31"/>
  <c r="H26" i="31"/>
  <c r="H115" i="31"/>
  <c r="H140" i="31"/>
  <c r="H85" i="31"/>
  <c r="H62" i="31"/>
  <c r="H174" i="31"/>
  <c r="H119" i="31"/>
  <c r="H80" i="31"/>
  <c r="H125" i="31"/>
  <c r="H73" i="31"/>
  <c r="H141" i="31"/>
  <c r="H50" i="31"/>
  <c r="H114" i="31"/>
  <c r="H178" i="31"/>
  <c r="H59" i="31"/>
  <c r="H123" i="31"/>
  <c r="H187" i="31"/>
  <c r="H52" i="31"/>
  <c r="H116" i="31"/>
  <c r="H180" i="31"/>
  <c r="H37" i="31"/>
  <c r="H197" i="31"/>
  <c r="H158" i="31"/>
  <c r="H103" i="31"/>
  <c r="H32" i="31"/>
  <c r="H160" i="31"/>
  <c r="H29" i="31"/>
  <c r="H93" i="31"/>
  <c r="H181" i="31"/>
  <c r="H70" i="31"/>
  <c r="H134" i="31"/>
  <c r="H198" i="31"/>
  <c r="H63" i="31"/>
  <c r="H127" i="31"/>
  <c r="H191" i="31"/>
  <c r="H72" i="31"/>
  <c r="H136" i="31"/>
  <c r="H200" i="31"/>
  <c r="H186" i="31"/>
  <c r="H172" i="31"/>
  <c r="H185" i="31"/>
  <c r="H202" i="31"/>
  <c r="H12" i="31"/>
  <c r="H81" i="31"/>
  <c r="H193" i="31"/>
  <c r="H90" i="31"/>
  <c r="H179" i="31"/>
  <c r="H204" i="31"/>
  <c r="H117" i="31"/>
  <c r="H94" i="31"/>
  <c r="H23" i="31"/>
  <c r="H151" i="31"/>
  <c r="H112" i="31"/>
  <c r="H25" i="31"/>
  <c r="H89" i="31"/>
  <c r="G6" i="31"/>
  <c r="G5" i="31"/>
  <c r="G32" i="31"/>
  <c r="G12" i="31"/>
  <c r="G46" i="31"/>
  <c r="G47" i="31"/>
  <c r="G17" i="31"/>
  <c r="G33" i="31"/>
  <c r="G14" i="31"/>
  <c r="G30" i="31"/>
  <c r="G7" i="31"/>
  <c r="G23" i="31"/>
  <c r="G39" i="31"/>
  <c r="G81" i="31"/>
  <c r="G71" i="31"/>
  <c r="G153" i="31"/>
  <c r="G185" i="31"/>
  <c r="G69" i="31"/>
  <c r="G70" i="31"/>
  <c r="G88" i="31"/>
  <c r="G59" i="31"/>
  <c r="G121" i="31"/>
  <c r="G138" i="31"/>
  <c r="G154" i="31"/>
  <c r="G170" i="31"/>
  <c r="G186" i="31"/>
  <c r="G202" i="31"/>
  <c r="G116" i="31"/>
  <c r="G149" i="31"/>
  <c r="G73" i="31"/>
  <c r="G78" i="31"/>
  <c r="G92" i="31"/>
  <c r="G63" i="31"/>
  <c r="G120" i="31"/>
  <c r="G139" i="31"/>
  <c r="G155" i="31"/>
  <c r="G171" i="31"/>
  <c r="G187" i="31"/>
  <c r="G203" i="31"/>
  <c r="G84" i="31"/>
  <c r="G137" i="31"/>
  <c r="G173" i="31"/>
  <c r="G61" i="31"/>
  <c r="G54" i="31"/>
  <c r="G80" i="31"/>
  <c r="G114" i="31"/>
  <c r="G99" i="31"/>
  <c r="G132" i="31"/>
  <c r="G148" i="31"/>
  <c r="G164" i="31"/>
  <c r="G180" i="31"/>
  <c r="G196" i="31"/>
  <c r="G168" i="31"/>
  <c r="G200" i="31"/>
  <c r="G20" i="31"/>
  <c r="G44" i="31"/>
  <c r="G41" i="31"/>
  <c r="G38" i="31"/>
  <c r="G31" i="31"/>
  <c r="G68" i="31"/>
  <c r="G169" i="31"/>
  <c r="G101" i="31"/>
  <c r="G122" i="31"/>
  <c r="G130" i="31"/>
  <c r="G162" i="31"/>
  <c r="G194" i="31"/>
  <c r="G103" i="31"/>
  <c r="G60" i="31"/>
  <c r="G95" i="31"/>
  <c r="G147" i="31"/>
  <c r="G179" i="31"/>
  <c r="G97" i="31"/>
  <c r="G157" i="31"/>
  <c r="G189" i="31"/>
  <c r="G48" i="31"/>
  <c r="G67" i="31"/>
  <c r="G140" i="31"/>
  <c r="G172" i="31"/>
  <c r="G36" i="31"/>
  <c r="G40" i="31"/>
  <c r="G29" i="31"/>
  <c r="G26" i="31"/>
  <c r="G19" i="31"/>
  <c r="G193" i="31"/>
  <c r="G141" i="31"/>
  <c r="G53" i="31"/>
  <c r="G98" i="31"/>
  <c r="G134" i="31"/>
  <c r="G150" i="31"/>
  <c r="G182" i="31"/>
  <c r="G52" i="31"/>
  <c r="G57" i="31"/>
  <c r="G76" i="31"/>
  <c r="G111" i="31"/>
  <c r="G151" i="31"/>
  <c r="G183" i="31"/>
  <c r="G102" i="31"/>
  <c r="G165" i="31"/>
  <c r="G109" i="31"/>
  <c r="G90" i="31"/>
  <c r="G144" i="31"/>
  <c r="G176" i="31"/>
  <c r="G16" i="31"/>
  <c r="G9" i="31"/>
  <c r="G49" i="31"/>
  <c r="G28" i="31"/>
  <c r="G21" i="31"/>
  <c r="G37" i="31"/>
  <c r="G18" i="31"/>
  <c r="G34" i="31"/>
  <c r="G11" i="31"/>
  <c r="G27" i="31"/>
  <c r="G43" i="31"/>
  <c r="G62" i="31"/>
  <c r="G119" i="31"/>
  <c r="G161" i="31"/>
  <c r="G197" i="31"/>
  <c r="G85" i="31"/>
  <c r="G106" i="31"/>
  <c r="G104" i="31"/>
  <c r="G75" i="31"/>
  <c r="G126" i="31"/>
  <c r="G142" i="31"/>
  <c r="G158" i="31"/>
  <c r="G174" i="31"/>
  <c r="G190" i="31"/>
  <c r="G58" i="31"/>
  <c r="G55" i="31"/>
  <c r="G201" i="31"/>
  <c r="G89" i="31"/>
  <c r="G118" i="31"/>
  <c r="G108" i="31"/>
  <c r="G79" i="31"/>
  <c r="G127" i="31"/>
  <c r="G143" i="31"/>
  <c r="G159" i="31"/>
  <c r="G175" i="31"/>
  <c r="G191" i="31"/>
  <c r="G65" i="31"/>
  <c r="G94" i="31"/>
  <c r="G145" i="31"/>
  <c r="G181" i="31"/>
  <c r="G77" i="31"/>
  <c r="G86" i="31"/>
  <c r="G96" i="31"/>
  <c r="G51" i="31"/>
  <c r="G115" i="31"/>
  <c r="G136" i="31"/>
  <c r="G152" i="31"/>
  <c r="G184" i="31"/>
  <c r="G8" i="31"/>
  <c r="G24" i="31"/>
  <c r="G25" i="31"/>
  <c r="G22" i="31"/>
  <c r="G15" i="31"/>
  <c r="G204" i="31"/>
  <c r="G129" i="31"/>
  <c r="G66" i="31"/>
  <c r="G56" i="31"/>
  <c r="G91" i="31"/>
  <c r="G146" i="31"/>
  <c r="G178" i="31"/>
  <c r="G113" i="31"/>
  <c r="G74" i="31"/>
  <c r="G105" i="31"/>
  <c r="G50" i="31"/>
  <c r="G131" i="31"/>
  <c r="G163" i="31"/>
  <c r="G195" i="31"/>
  <c r="G87" i="31"/>
  <c r="G93" i="31"/>
  <c r="G112" i="31"/>
  <c r="G124" i="31"/>
  <c r="G156" i="31"/>
  <c r="G188" i="31"/>
  <c r="G45" i="31"/>
  <c r="G13" i="31"/>
  <c r="G10" i="31"/>
  <c r="G42" i="31"/>
  <c r="G35" i="31"/>
  <c r="G100" i="31"/>
  <c r="G177" i="31"/>
  <c r="G117" i="31"/>
  <c r="G72" i="31"/>
  <c r="G107" i="31"/>
  <c r="G166" i="31"/>
  <c r="G198" i="31"/>
  <c r="G133" i="31"/>
  <c r="G123" i="31"/>
  <c r="G110" i="31"/>
  <c r="G135" i="31"/>
  <c r="G167" i="31"/>
  <c r="G199" i="31"/>
  <c r="G125" i="31"/>
  <c r="G82" i="31"/>
  <c r="G64" i="31"/>
  <c r="G83" i="31"/>
  <c r="G128" i="31"/>
  <c r="G160" i="31"/>
  <c r="G192" i="31"/>
  <c r="M41" i="20"/>
  <c r="S39" i="20"/>
  <c r="S38" i="20"/>
  <c r="S40" i="20"/>
  <c r="S36" i="20"/>
  <c r="S37" i="20"/>
  <c r="P40" i="20"/>
  <c r="P38" i="20"/>
  <c r="P39" i="20"/>
  <c r="P37" i="20"/>
  <c r="M40" i="21"/>
  <c r="M36" i="21"/>
  <c r="M39" i="20"/>
  <c r="M36" i="20"/>
  <c r="M40" i="20"/>
  <c r="M38" i="20"/>
  <c r="M38" i="21"/>
  <c r="P39" i="21"/>
  <c r="P36" i="21"/>
  <c r="P38" i="21"/>
  <c r="P64" i="21"/>
  <c r="Q64" i="21" s="1"/>
  <c r="P37" i="21"/>
  <c r="M41" i="21"/>
  <c r="P40" i="21"/>
  <c r="M39" i="21"/>
  <c r="Y89" i="23"/>
  <c r="Z89" i="23" s="1"/>
  <c r="S89" i="23"/>
  <c r="T89" i="23" s="1"/>
  <c r="P67" i="19"/>
  <c r="R67" i="19" s="1"/>
  <c r="V89" i="23"/>
  <c r="X89" i="23" s="1"/>
  <c r="M81" i="22"/>
  <c r="N81" i="22" s="1"/>
  <c r="M72" i="19"/>
  <c r="O72" i="19" s="1"/>
  <c r="S72" i="19"/>
  <c r="T72" i="19" s="1"/>
  <c r="S89" i="20"/>
  <c r="U89" i="20" s="1"/>
  <c r="P69" i="19"/>
  <c r="R69" i="19" s="1"/>
  <c r="M89" i="23"/>
  <c r="N89" i="23" s="1"/>
  <c r="P86" i="23"/>
  <c r="Q86" i="23" s="1"/>
  <c r="V79" i="23"/>
  <c r="V81" i="23"/>
  <c r="V74" i="23"/>
  <c r="V84" i="23"/>
  <c r="V86" i="23"/>
  <c r="V87" i="23"/>
  <c r="V88" i="23" s="1"/>
  <c r="V68" i="23"/>
  <c r="V65" i="23"/>
  <c r="V77" i="23"/>
  <c r="S75" i="21"/>
  <c r="T75" i="21" s="1"/>
  <c r="Y72" i="19"/>
  <c r="Y89" i="20"/>
  <c r="S86" i="20"/>
  <c r="S87" i="20"/>
  <c r="S88" i="20" s="1"/>
  <c r="Y69" i="21"/>
  <c r="Z69" i="21" s="1"/>
  <c r="Y81" i="22"/>
  <c r="P81" i="22"/>
  <c r="P89" i="23"/>
  <c r="S81" i="22"/>
  <c r="M86" i="20"/>
  <c r="M87" i="20"/>
  <c r="Y79" i="22"/>
  <c r="Y64" i="22"/>
  <c r="Y78" i="22"/>
  <c r="S78" i="22"/>
  <c r="S79" i="22"/>
  <c r="S64" i="22"/>
  <c r="V64" i="22"/>
  <c r="V78" i="22"/>
  <c r="V79" i="22"/>
  <c r="V80" i="22" s="1"/>
  <c r="M89" i="20"/>
  <c r="V72" i="19"/>
  <c r="V89" i="20"/>
  <c r="P87" i="20"/>
  <c r="P86" i="20"/>
  <c r="Q86" i="20" s="1"/>
  <c r="S64" i="19"/>
  <c r="S65" i="19"/>
  <c r="S69" i="19"/>
  <c r="S67" i="19"/>
  <c r="S70" i="19"/>
  <c r="R66" i="21"/>
  <c r="P70" i="19"/>
  <c r="P71" i="19" s="1"/>
  <c r="M64" i="19"/>
  <c r="M65" i="19"/>
  <c r="M70" i="19"/>
  <c r="M67" i="19"/>
  <c r="M69" i="19"/>
  <c r="Y67" i="19"/>
  <c r="Y69" i="19"/>
  <c r="Y70" i="19"/>
  <c r="Y71" i="19" s="1"/>
  <c r="Y65" i="19"/>
  <c r="Y64" i="19"/>
  <c r="V70" i="19"/>
  <c r="V64" i="19"/>
  <c r="V65" i="19"/>
  <c r="V67" i="19"/>
  <c r="V69" i="19"/>
  <c r="P79" i="22"/>
  <c r="P78" i="22"/>
  <c r="Q78" i="22" s="1"/>
  <c r="P72" i="19"/>
  <c r="P89" i="20"/>
  <c r="Y86" i="20"/>
  <c r="Y87" i="20"/>
  <c r="P87" i="23"/>
  <c r="P88" i="23" s="1"/>
  <c r="V86" i="20"/>
  <c r="V87" i="20"/>
  <c r="V88" i="20" s="1"/>
  <c r="Y68" i="23"/>
  <c r="Y77" i="23"/>
  <c r="Y67" i="23"/>
  <c r="Y82" i="23"/>
  <c r="Y76" i="23"/>
  <c r="Y65" i="23"/>
  <c r="Y66" i="23"/>
  <c r="Y75" i="23"/>
  <c r="Y83" i="23"/>
  <c r="Y79" i="23"/>
  <c r="Y81" i="23"/>
  <c r="Y86" i="23"/>
  <c r="Y74" i="23"/>
  <c r="Y78" i="23"/>
  <c r="Y84" i="23"/>
  <c r="Y87" i="23"/>
  <c r="Y88" i="23" s="1"/>
  <c r="M86" i="23"/>
  <c r="M87" i="23"/>
  <c r="P64" i="22"/>
  <c r="Q64" i="22" s="1"/>
  <c r="P45" i="22" s="1"/>
  <c r="S86" i="23"/>
  <c r="S87" i="23"/>
  <c r="S88" i="23" s="1"/>
  <c r="M79" i="22"/>
  <c r="M80" i="22" s="1"/>
  <c r="M64" i="22"/>
  <c r="M78" i="22"/>
  <c r="V81" i="22"/>
  <c r="P69" i="21"/>
  <c r="P70" i="21" s="1"/>
  <c r="P65" i="19"/>
  <c r="P64" i="19"/>
  <c r="M70" i="22"/>
  <c r="M65" i="22"/>
  <c r="P74" i="22"/>
  <c r="P69" i="22"/>
  <c r="P76" i="22"/>
  <c r="M74" i="22"/>
  <c r="M76" i="22"/>
  <c r="M69" i="22"/>
  <c r="Y70" i="22"/>
  <c r="Y65" i="22"/>
  <c r="M66" i="22"/>
  <c r="M71" i="22"/>
  <c r="S69" i="21"/>
  <c r="M72" i="21"/>
  <c r="M73" i="21"/>
  <c r="P75" i="21"/>
  <c r="M69" i="21"/>
  <c r="V75" i="21"/>
  <c r="Y72" i="21"/>
  <c r="Y73" i="21"/>
  <c r="Y74" i="21" s="1"/>
  <c r="V69" i="21"/>
  <c r="Y65" i="21"/>
  <c r="Y66" i="21"/>
  <c r="Y64" i="21"/>
  <c r="M75" i="21"/>
  <c r="Y75" i="21"/>
  <c r="V66" i="21"/>
  <c r="V65" i="21"/>
  <c r="V64" i="21"/>
  <c r="P72" i="21"/>
  <c r="P73" i="21"/>
  <c r="P74" i="21" s="1"/>
  <c r="S73" i="21"/>
  <c r="S72" i="21"/>
  <c r="S64" i="21"/>
  <c r="S65" i="21"/>
  <c r="S66" i="21"/>
  <c r="M65" i="21"/>
  <c r="V72" i="21"/>
  <c r="V73" i="21"/>
  <c r="V74" i="21" s="1"/>
  <c r="C18" i="16"/>
  <c r="C17" i="16"/>
  <c r="C22" i="16"/>
  <c r="C20" i="16"/>
  <c r="C19" i="16"/>
  <c r="M10" i="21"/>
  <c r="S12" i="21"/>
  <c r="P13" i="21"/>
  <c r="M14" i="21"/>
  <c r="P12" i="23"/>
  <c r="P71" i="23" s="1"/>
  <c r="S13" i="23"/>
  <c r="S72" i="23" s="1"/>
  <c r="P13" i="23"/>
  <c r="P72" i="23" s="1"/>
  <c r="S11" i="23"/>
  <c r="S66" i="23" s="1"/>
  <c r="P9" i="23"/>
  <c r="P14" i="23"/>
  <c r="Y9" i="23"/>
  <c r="Y14" i="23"/>
  <c r="S12" i="23"/>
  <c r="S71" i="23" s="1"/>
  <c r="S9" i="23"/>
  <c r="V9" i="23"/>
  <c r="V14" i="23"/>
  <c r="V12" i="23"/>
  <c r="V83" i="23" s="1"/>
  <c r="P10" i="23"/>
  <c r="P69" i="23" s="1"/>
  <c r="V11" i="23"/>
  <c r="V70" i="23" s="1"/>
  <c r="S10" i="23"/>
  <c r="S74" i="23" s="1"/>
  <c r="S14" i="23"/>
  <c r="P11" i="23"/>
  <c r="P70" i="23" s="1"/>
  <c r="P11" i="22"/>
  <c r="S13" i="22"/>
  <c r="S69" i="22" s="1"/>
  <c r="Y11" i="22"/>
  <c r="Y72" i="22" s="1"/>
  <c r="P9" i="22"/>
  <c r="S10" i="22"/>
  <c r="S66" i="22" s="1"/>
  <c r="M12" i="20"/>
  <c r="M78" i="20" s="1"/>
  <c r="P12" i="22"/>
  <c r="P13" i="19"/>
  <c r="M13" i="20"/>
  <c r="M79" i="20" s="1"/>
  <c r="Y13" i="22"/>
  <c r="Y69" i="22" s="1"/>
  <c r="S11" i="22"/>
  <c r="S67" i="22" s="1"/>
  <c r="M11" i="22"/>
  <c r="M14" i="22"/>
  <c r="Y14" i="22"/>
  <c r="P14" i="22"/>
  <c r="S14" i="22"/>
  <c r="Y10" i="22"/>
  <c r="Y71" i="22" s="1"/>
  <c r="M12" i="22"/>
  <c r="Y12" i="22"/>
  <c r="Y73" i="22" s="1"/>
  <c r="P10" i="22"/>
  <c r="S12" i="22"/>
  <c r="S75" i="22" s="1"/>
  <c r="S9" i="22"/>
  <c r="P11" i="20"/>
  <c r="P14" i="19"/>
  <c r="P13" i="20"/>
  <c r="P79" i="20" s="1"/>
  <c r="P12" i="20"/>
  <c r="P78" i="20" s="1"/>
  <c r="P9" i="21"/>
  <c r="Y10" i="19"/>
  <c r="V12" i="19"/>
  <c r="V10" i="20"/>
  <c r="V69" i="20" s="1"/>
  <c r="P10" i="19"/>
  <c r="Y11" i="19"/>
  <c r="P11" i="19"/>
  <c r="V9" i="19"/>
  <c r="Y12" i="19"/>
  <c r="Y13" i="19"/>
  <c r="P12" i="19"/>
  <c r="P9" i="19"/>
  <c r="V14" i="19"/>
  <c r="V10" i="19"/>
  <c r="V13" i="19"/>
  <c r="S14" i="20"/>
  <c r="V12" i="21"/>
  <c r="V13" i="20"/>
  <c r="V77" i="20" s="1"/>
  <c r="V9" i="22"/>
  <c r="M9" i="23"/>
  <c r="S13" i="20"/>
  <c r="S79" i="20" s="1"/>
  <c r="M9" i="20"/>
  <c r="S12" i="20"/>
  <c r="S83" i="20" s="1"/>
  <c r="S9" i="20"/>
  <c r="V14" i="20"/>
  <c r="M14" i="20"/>
  <c r="M10" i="23"/>
  <c r="M69" i="23" s="1"/>
  <c r="M10" i="20"/>
  <c r="M11" i="23"/>
  <c r="M70" i="23" s="1"/>
  <c r="M12" i="23"/>
  <c r="M71" i="23" s="1"/>
  <c r="V11" i="20"/>
  <c r="V82" i="20" s="1"/>
  <c r="V12" i="20"/>
  <c r="V67" i="20" s="1"/>
  <c r="S10" i="19"/>
  <c r="V10" i="22"/>
  <c r="V71" i="22" s="1"/>
  <c r="M13" i="23"/>
  <c r="M72" i="23" s="1"/>
  <c r="S10" i="20"/>
  <c r="S74" i="20" s="1"/>
  <c r="S11" i="20"/>
  <c r="S70" i="20" s="1"/>
  <c r="V9" i="20"/>
  <c r="M11" i="20"/>
  <c r="P10" i="21"/>
  <c r="S9" i="21"/>
  <c r="S14" i="21"/>
  <c r="M13" i="21"/>
  <c r="S13" i="21"/>
  <c r="P14" i="21"/>
  <c r="V9" i="21"/>
  <c r="M11" i="21"/>
  <c r="M9" i="21"/>
  <c r="S11" i="21"/>
  <c r="P11" i="21"/>
  <c r="P12" i="21"/>
  <c r="V10" i="21"/>
  <c r="M12" i="21"/>
  <c r="S10" i="21"/>
  <c r="V12" i="22"/>
  <c r="V73" i="22" s="1"/>
  <c r="V11" i="22"/>
  <c r="V67" i="22" s="1"/>
  <c r="V13" i="22"/>
  <c r="V69" i="22" s="1"/>
  <c r="V14" i="22"/>
  <c r="S13" i="19"/>
  <c r="S11" i="19"/>
  <c r="P10" i="20"/>
  <c r="S9" i="19"/>
  <c r="P9" i="20"/>
  <c r="S12" i="19"/>
  <c r="S14" i="19"/>
  <c r="Y12" i="20"/>
  <c r="Y67" i="20" s="1"/>
  <c r="Y12" i="21"/>
  <c r="Y9" i="20"/>
  <c r="Y9" i="21"/>
  <c r="Y13" i="21"/>
  <c r="Y13" i="20"/>
  <c r="Y77" i="20" s="1"/>
  <c r="Y10" i="20"/>
  <c r="Y81" i="20" s="1"/>
  <c r="Y10" i="21"/>
  <c r="M14" i="19"/>
  <c r="Y11" i="20"/>
  <c r="Y82" i="20" s="1"/>
  <c r="Y11" i="21"/>
  <c r="Y14" i="21"/>
  <c r="Y14" i="20"/>
  <c r="M9" i="19"/>
  <c r="M10" i="19"/>
  <c r="M11" i="19"/>
  <c r="M12" i="19"/>
  <c r="M13" i="19"/>
  <c r="J11" i="22"/>
  <c r="J14" i="22"/>
  <c r="J13" i="22"/>
  <c r="J74" i="22" s="1"/>
  <c r="K74" i="22" s="1"/>
  <c r="J9" i="22"/>
  <c r="J70" i="22" s="1"/>
  <c r="K70" i="22" s="1"/>
  <c r="J12" i="22"/>
  <c r="G27" i="25" l="1"/>
  <c r="C35" i="25"/>
  <c r="U77" i="22"/>
  <c r="S58" i="22" s="1"/>
  <c r="R85" i="23"/>
  <c r="P58" i="23" s="1"/>
  <c r="R65" i="21"/>
  <c r="N85" i="23"/>
  <c r="M47" i="23" s="1"/>
  <c r="O68" i="19"/>
  <c r="M58" i="19" s="1"/>
  <c r="O71" i="21"/>
  <c r="M58" i="21" s="1"/>
  <c r="AA85" i="23"/>
  <c r="Y58" i="23" s="1"/>
  <c r="W85" i="20"/>
  <c r="V47" i="20" s="1"/>
  <c r="Q71" i="21"/>
  <c r="P47" i="21" s="1"/>
  <c r="V58" i="20"/>
  <c r="S47" i="21"/>
  <c r="S58" i="21"/>
  <c r="V71" i="23"/>
  <c r="W71" i="23" s="1"/>
  <c r="S70" i="23"/>
  <c r="T70" i="23" s="1"/>
  <c r="S69" i="23"/>
  <c r="U69" i="23" s="1"/>
  <c r="Z72" i="23"/>
  <c r="AA72" i="23"/>
  <c r="AA69" i="23"/>
  <c r="Z69" i="23"/>
  <c r="AA71" i="23"/>
  <c r="Z71" i="23"/>
  <c r="Z70" i="23"/>
  <c r="AA70" i="23"/>
  <c r="X70" i="23"/>
  <c r="W70" i="23"/>
  <c r="X72" i="23"/>
  <c r="W72" i="23"/>
  <c r="W69" i="23"/>
  <c r="X69" i="23"/>
  <c r="T72" i="23"/>
  <c r="U72" i="23"/>
  <c r="U71" i="23"/>
  <c r="T71" i="23"/>
  <c r="R70" i="23"/>
  <c r="Q70" i="23"/>
  <c r="R69" i="23"/>
  <c r="Q69" i="23"/>
  <c r="Q71" i="23"/>
  <c r="R71" i="23"/>
  <c r="R72" i="23"/>
  <c r="Q72" i="23"/>
  <c r="O69" i="23"/>
  <c r="N69" i="23"/>
  <c r="O71" i="23"/>
  <c r="N71" i="23"/>
  <c r="N70" i="23"/>
  <c r="O70" i="23"/>
  <c r="N72" i="23"/>
  <c r="O72" i="23"/>
  <c r="O64" i="21"/>
  <c r="T68" i="21"/>
  <c r="U68" i="21"/>
  <c r="T67" i="21"/>
  <c r="U67" i="21"/>
  <c r="W68" i="21"/>
  <c r="X68" i="21"/>
  <c r="W67" i="21"/>
  <c r="X67" i="21"/>
  <c r="Q68" i="21"/>
  <c r="R68" i="21"/>
  <c r="Q67" i="21"/>
  <c r="R67" i="21"/>
  <c r="AA68" i="21"/>
  <c r="Z68" i="21"/>
  <c r="AA67" i="21"/>
  <c r="Z67" i="21"/>
  <c r="O68" i="21"/>
  <c r="M47" i="20"/>
  <c r="R64" i="21"/>
  <c r="Q67" i="19"/>
  <c r="V78" i="20"/>
  <c r="W78" i="20" s="1"/>
  <c r="V79" i="20"/>
  <c r="W79" i="20" s="1"/>
  <c r="S78" i="20"/>
  <c r="T78" i="20" s="1"/>
  <c r="Y79" i="20"/>
  <c r="Z79" i="20" s="1"/>
  <c r="Y78" i="20"/>
  <c r="AA78" i="20" s="1"/>
  <c r="N79" i="20"/>
  <c r="O79" i="20"/>
  <c r="N78" i="20"/>
  <c r="O78" i="20"/>
  <c r="Q78" i="20"/>
  <c r="R78" i="20"/>
  <c r="T79" i="20"/>
  <c r="U79" i="20"/>
  <c r="Q79" i="20"/>
  <c r="R79" i="20"/>
  <c r="V58" i="23"/>
  <c r="S58" i="19"/>
  <c r="P58" i="22"/>
  <c r="N66" i="21"/>
  <c r="U75" i="21"/>
  <c r="AA89" i="23"/>
  <c r="U72" i="19"/>
  <c r="U89" i="23"/>
  <c r="Q69" i="19"/>
  <c r="P47" i="20"/>
  <c r="Y70" i="21"/>
  <c r="AA70" i="21" s="1"/>
  <c r="W89" i="23"/>
  <c r="R86" i="20"/>
  <c r="R86" i="23"/>
  <c r="R64" i="22"/>
  <c r="P53" i="22" s="1"/>
  <c r="T89" i="20"/>
  <c r="O89" i="23"/>
  <c r="N72" i="19"/>
  <c r="O81" i="22"/>
  <c r="Q66" i="21"/>
  <c r="P45" i="21" s="1"/>
  <c r="AA69" i="21"/>
  <c r="Y56" i="21" s="1"/>
  <c r="R78" i="22"/>
  <c r="T74" i="20"/>
  <c r="U74" i="20"/>
  <c r="W69" i="20"/>
  <c r="X69" i="20"/>
  <c r="T74" i="23"/>
  <c r="U74" i="23"/>
  <c r="Z82" i="20"/>
  <c r="AA82" i="20"/>
  <c r="T75" i="22"/>
  <c r="U75" i="22"/>
  <c r="U66" i="22"/>
  <c r="T66" i="22"/>
  <c r="Z67" i="20"/>
  <c r="AA67" i="20"/>
  <c r="W71" i="22"/>
  <c r="X71" i="22"/>
  <c r="W77" i="20"/>
  <c r="X77" i="20"/>
  <c r="AA71" i="19"/>
  <c r="Y59" i="19" s="1"/>
  <c r="Z71" i="19"/>
  <c r="X69" i="22"/>
  <c r="W69" i="22"/>
  <c r="AA73" i="22"/>
  <c r="Z73" i="22"/>
  <c r="T67" i="22"/>
  <c r="U67" i="22"/>
  <c r="AA72" i="22"/>
  <c r="Z72" i="22"/>
  <c r="X83" i="23"/>
  <c r="W83" i="23"/>
  <c r="X67" i="20"/>
  <c r="W67" i="20"/>
  <c r="Z69" i="22"/>
  <c r="AA69" i="22"/>
  <c r="T69" i="22"/>
  <c r="U69" i="22"/>
  <c r="T66" i="23"/>
  <c r="U66" i="23"/>
  <c r="W67" i="22"/>
  <c r="X67" i="22"/>
  <c r="T83" i="20"/>
  <c r="U83" i="20"/>
  <c r="Z71" i="22"/>
  <c r="AA71" i="22"/>
  <c r="Z77" i="20"/>
  <c r="AA77" i="20"/>
  <c r="W82" i="20"/>
  <c r="X82" i="20"/>
  <c r="W88" i="20"/>
  <c r="X88" i="20"/>
  <c r="V59" i="20" s="1"/>
  <c r="Q71" i="19"/>
  <c r="R71" i="19"/>
  <c r="P59" i="19" s="1"/>
  <c r="Z81" i="20"/>
  <c r="AA81" i="20"/>
  <c r="W73" i="22"/>
  <c r="X73" i="22"/>
  <c r="U70" i="20"/>
  <c r="T70" i="20"/>
  <c r="S79" i="23"/>
  <c r="S65" i="23"/>
  <c r="S84" i="23"/>
  <c r="AA78" i="23"/>
  <c r="Z78" i="23"/>
  <c r="Z88" i="23"/>
  <c r="AA88" i="23"/>
  <c r="Y59" i="23" s="1"/>
  <c r="Z67" i="23"/>
  <c r="AA67" i="23"/>
  <c r="V68" i="20"/>
  <c r="V84" i="20"/>
  <c r="Y68" i="20"/>
  <c r="Y72" i="20"/>
  <c r="W65" i="19"/>
  <c r="V66" i="19"/>
  <c r="X65" i="19"/>
  <c r="Z67" i="19"/>
  <c r="AA67" i="19"/>
  <c r="N70" i="19"/>
  <c r="O70" i="19"/>
  <c r="T67" i="19"/>
  <c r="U67" i="19"/>
  <c r="W89" i="20"/>
  <c r="X89" i="20"/>
  <c r="V75" i="22"/>
  <c r="V72" i="22"/>
  <c r="S73" i="22"/>
  <c r="Y75" i="22"/>
  <c r="Y67" i="22"/>
  <c r="Q89" i="23"/>
  <c r="R89" i="23"/>
  <c r="S67" i="20"/>
  <c r="S69" i="20"/>
  <c r="X68" i="23"/>
  <c r="W68" i="23"/>
  <c r="V76" i="23"/>
  <c r="X81" i="22"/>
  <c r="W81" i="22"/>
  <c r="S81" i="23"/>
  <c r="S75" i="23"/>
  <c r="AA74" i="23"/>
  <c r="Z74" i="23"/>
  <c r="Z75" i="23"/>
  <c r="AA75" i="23"/>
  <c r="Z77" i="23"/>
  <c r="AA77" i="23"/>
  <c r="V65" i="20"/>
  <c r="V66" i="20"/>
  <c r="Y84" i="20"/>
  <c r="Y75" i="20"/>
  <c r="Y65" i="20"/>
  <c r="W64" i="19"/>
  <c r="V45" i="19" s="1"/>
  <c r="X64" i="19"/>
  <c r="V53" i="19" s="1"/>
  <c r="N65" i="19"/>
  <c r="M66" i="19"/>
  <c r="O65" i="19"/>
  <c r="T69" i="19"/>
  <c r="U69" i="19"/>
  <c r="W72" i="19"/>
  <c r="X72" i="19"/>
  <c r="W80" i="22"/>
  <c r="X80" i="22"/>
  <c r="V59" i="22" s="1"/>
  <c r="S76" i="22"/>
  <c r="S68" i="22"/>
  <c r="Y68" i="22"/>
  <c r="AA64" i="22"/>
  <c r="Y53" i="22" s="1"/>
  <c r="Z64" i="22"/>
  <c r="Y45" i="22" s="1"/>
  <c r="R81" i="22"/>
  <c r="Q81" i="22"/>
  <c r="S81" i="20"/>
  <c r="S68" i="20"/>
  <c r="V78" i="23"/>
  <c r="W88" i="23"/>
  <c r="X88" i="23"/>
  <c r="V59" i="23" s="1"/>
  <c r="O80" i="22"/>
  <c r="M59" i="22" s="1"/>
  <c r="N80" i="22"/>
  <c r="S82" i="23"/>
  <c r="S78" i="23"/>
  <c r="Z66" i="23"/>
  <c r="AA66" i="23"/>
  <c r="AA68" i="23"/>
  <c r="Z68" i="23"/>
  <c r="V83" i="20"/>
  <c r="V81" i="20"/>
  <c r="Y74" i="20"/>
  <c r="Y66" i="20"/>
  <c r="Q89" i="20"/>
  <c r="R89" i="20"/>
  <c r="V71" i="19"/>
  <c r="W70" i="19"/>
  <c r="X70" i="19"/>
  <c r="N64" i="19"/>
  <c r="M45" i="19" s="1"/>
  <c r="O64" i="19"/>
  <c r="M53" i="19" s="1"/>
  <c r="T65" i="19"/>
  <c r="U65" i="19"/>
  <c r="S66" i="19"/>
  <c r="N89" i="20"/>
  <c r="O89" i="20"/>
  <c r="W78" i="22"/>
  <c r="X78" i="22"/>
  <c r="S71" i="22"/>
  <c r="U78" i="22"/>
  <c r="T78" i="22"/>
  <c r="Z78" i="22"/>
  <c r="AA78" i="22"/>
  <c r="Y80" i="22"/>
  <c r="Z79" i="22"/>
  <c r="AA79" i="22"/>
  <c r="Z81" i="22"/>
  <c r="AA81" i="22"/>
  <c r="U88" i="20"/>
  <c r="S59" i="20" s="1"/>
  <c r="T88" i="20"/>
  <c r="S82" i="20"/>
  <c r="S65" i="20"/>
  <c r="W77" i="23"/>
  <c r="X77" i="23"/>
  <c r="V67" i="23"/>
  <c r="X81" i="23"/>
  <c r="W81" i="23"/>
  <c r="N78" i="22"/>
  <c r="O78" i="22"/>
  <c r="S77" i="23"/>
  <c r="AA86" i="23"/>
  <c r="Z86" i="23"/>
  <c r="Z65" i="23"/>
  <c r="AA65" i="23"/>
  <c r="V71" i="20"/>
  <c r="V75" i="20"/>
  <c r="Q87" i="23"/>
  <c r="R87" i="23"/>
  <c r="Y69" i="20"/>
  <c r="Y76" i="20"/>
  <c r="Q72" i="19"/>
  <c r="R72" i="19"/>
  <c r="T64" i="19"/>
  <c r="S45" i="19" s="1"/>
  <c r="U64" i="19"/>
  <c r="S53" i="19" s="1"/>
  <c r="X79" i="22"/>
  <c r="W79" i="22"/>
  <c r="V76" i="22"/>
  <c r="U64" i="22"/>
  <c r="S53" i="22" s="1"/>
  <c r="T64" i="22"/>
  <c r="S45" i="22" s="1"/>
  <c r="Y74" i="22"/>
  <c r="S66" i="20"/>
  <c r="S77" i="20"/>
  <c r="W87" i="23"/>
  <c r="X87" i="23"/>
  <c r="V66" i="23"/>
  <c r="N64" i="22"/>
  <c r="M45" i="22" s="1"/>
  <c r="O64" i="22"/>
  <c r="M53" i="22" s="1"/>
  <c r="S83" i="23"/>
  <c r="S68" i="23"/>
  <c r="M88" i="23"/>
  <c r="O87" i="23"/>
  <c r="N87" i="23"/>
  <c r="Z81" i="23"/>
  <c r="AA81" i="23"/>
  <c r="Z76" i="23"/>
  <c r="AA76" i="23"/>
  <c r="V72" i="20"/>
  <c r="V74" i="20"/>
  <c r="V70" i="20"/>
  <c r="Q88" i="23"/>
  <c r="R88" i="23"/>
  <c r="P59" i="23" s="1"/>
  <c r="Z87" i="20"/>
  <c r="AA87" i="20"/>
  <c r="Y70" i="20"/>
  <c r="Z64" i="19"/>
  <c r="Y45" i="19" s="1"/>
  <c r="AA64" i="19"/>
  <c r="Y53" i="19" s="1"/>
  <c r="Q70" i="19"/>
  <c r="R70" i="19"/>
  <c r="V68" i="22"/>
  <c r="V74" i="22"/>
  <c r="S72" i="22"/>
  <c r="S74" i="22"/>
  <c r="Y66" i="22"/>
  <c r="T87" i="20"/>
  <c r="U87" i="20"/>
  <c r="S76" i="20"/>
  <c r="W86" i="23"/>
  <c r="X86" i="23"/>
  <c r="W79" i="23"/>
  <c r="X79" i="23"/>
  <c r="Q69" i="21"/>
  <c r="N79" i="22"/>
  <c r="O79" i="22"/>
  <c r="S76" i="23"/>
  <c r="T87" i="23"/>
  <c r="U87" i="23"/>
  <c r="O86" i="23"/>
  <c r="N86" i="23"/>
  <c r="Z79" i="23"/>
  <c r="AA79" i="23"/>
  <c r="Y88" i="20"/>
  <c r="Y71" i="20"/>
  <c r="P80" i="22"/>
  <c r="Q79" i="22"/>
  <c r="R79" i="22"/>
  <c r="Y66" i="19"/>
  <c r="Z65" i="19"/>
  <c r="AA65" i="19"/>
  <c r="M71" i="19"/>
  <c r="P88" i="20"/>
  <c r="R87" i="20"/>
  <c r="Q87" i="20"/>
  <c r="V66" i="22"/>
  <c r="M88" i="20"/>
  <c r="O87" i="20"/>
  <c r="N87" i="20"/>
  <c r="U86" i="20"/>
  <c r="T86" i="20"/>
  <c r="S72" i="20"/>
  <c r="S84" i="20"/>
  <c r="Z89" i="20"/>
  <c r="AA89" i="20"/>
  <c r="W65" i="23"/>
  <c r="X65" i="23"/>
  <c r="W84" i="23"/>
  <c r="X84" i="23"/>
  <c r="V75" i="23"/>
  <c r="R69" i="21"/>
  <c r="P56" i="21" s="1"/>
  <c r="U88" i="23"/>
  <c r="S59" i="23" s="1"/>
  <c r="T88" i="23"/>
  <c r="U86" i="23"/>
  <c r="T86" i="23"/>
  <c r="AA87" i="23"/>
  <c r="Z87" i="23"/>
  <c r="Z83" i="23"/>
  <c r="AA83" i="23"/>
  <c r="Z82" i="23"/>
  <c r="AA82" i="23"/>
  <c r="W87" i="20"/>
  <c r="X87" i="20"/>
  <c r="V76" i="20"/>
  <c r="Y83" i="20"/>
  <c r="AA86" i="20"/>
  <c r="Z86" i="20"/>
  <c r="W69" i="19"/>
  <c r="X69" i="19"/>
  <c r="AA70" i="19"/>
  <c r="Z70" i="19"/>
  <c r="N69" i="19"/>
  <c r="O69" i="19"/>
  <c r="T70" i="19"/>
  <c r="U70" i="19"/>
  <c r="Y76" i="22"/>
  <c r="O86" i="20"/>
  <c r="N86" i="20"/>
  <c r="S75" i="20"/>
  <c r="S71" i="20"/>
  <c r="Z72" i="19"/>
  <c r="AA72" i="19"/>
  <c r="V82" i="23"/>
  <c r="W74" i="23"/>
  <c r="X74" i="23"/>
  <c r="S67" i="23"/>
  <c r="AA84" i="23"/>
  <c r="Z84" i="23"/>
  <c r="W86" i="20"/>
  <c r="X86" i="20"/>
  <c r="X67" i="19"/>
  <c r="W67" i="19"/>
  <c r="Z69" i="19"/>
  <c r="AA69" i="19"/>
  <c r="N67" i="19"/>
  <c r="O67" i="19"/>
  <c r="S71" i="19"/>
  <c r="W64" i="22"/>
  <c r="V45" i="22" s="1"/>
  <c r="X64" i="22"/>
  <c r="V53" i="22" s="1"/>
  <c r="S80" i="22"/>
  <c r="T79" i="22"/>
  <c r="U79" i="22"/>
  <c r="T81" i="22"/>
  <c r="U81" i="22"/>
  <c r="Q64" i="19"/>
  <c r="P45" i="19" s="1"/>
  <c r="R64" i="19"/>
  <c r="P53" i="19" s="1"/>
  <c r="Q65" i="19"/>
  <c r="P66" i="19"/>
  <c r="R65" i="19"/>
  <c r="M68" i="22"/>
  <c r="M75" i="22"/>
  <c r="M73" i="22"/>
  <c r="P65" i="20"/>
  <c r="P74" i="20"/>
  <c r="P69" i="20"/>
  <c r="P81" i="20"/>
  <c r="P83" i="23"/>
  <c r="P78" i="23"/>
  <c r="P67" i="23"/>
  <c r="P76" i="23"/>
  <c r="O76" i="22"/>
  <c r="N76" i="22"/>
  <c r="V80" i="20"/>
  <c r="V64" i="20"/>
  <c r="V73" i="20"/>
  <c r="M78" i="23"/>
  <c r="M76" i="23"/>
  <c r="M83" i="23"/>
  <c r="M67" i="23"/>
  <c r="M64" i="20"/>
  <c r="M73" i="20"/>
  <c r="M80" i="20"/>
  <c r="P82" i="23"/>
  <c r="P66" i="23"/>
  <c r="P75" i="23"/>
  <c r="S64" i="23"/>
  <c r="S73" i="23"/>
  <c r="S80" i="23"/>
  <c r="N69" i="22"/>
  <c r="O69" i="22"/>
  <c r="M66" i="23"/>
  <c r="M75" i="23"/>
  <c r="M82" i="23"/>
  <c r="P70" i="20"/>
  <c r="P82" i="20"/>
  <c r="P66" i="20"/>
  <c r="P75" i="20"/>
  <c r="P68" i="22"/>
  <c r="P75" i="22"/>
  <c r="P73" i="22"/>
  <c r="Y80" i="20"/>
  <c r="Y64" i="20"/>
  <c r="Y73" i="20"/>
  <c r="M74" i="20"/>
  <c r="M81" i="20"/>
  <c r="M65" i="20"/>
  <c r="M69" i="20"/>
  <c r="M64" i="23"/>
  <c r="M80" i="23"/>
  <c r="M73" i="23"/>
  <c r="S70" i="22"/>
  <c r="S65" i="22"/>
  <c r="M71" i="20"/>
  <c r="M83" i="20"/>
  <c r="M67" i="20"/>
  <c r="M76" i="20"/>
  <c r="O74" i="22"/>
  <c r="N74" i="22"/>
  <c r="S64" i="20"/>
  <c r="S73" i="20"/>
  <c r="S80" i="20"/>
  <c r="P67" i="20"/>
  <c r="P71" i="20"/>
  <c r="P76" i="20"/>
  <c r="P83" i="20"/>
  <c r="M79" i="23"/>
  <c r="M77" i="23"/>
  <c r="M68" i="23"/>
  <c r="M84" i="23"/>
  <c r="M81" i="23"/>
  <c r="M65" i="23"/>
  <c r="M74" i="23"/>
  <c r="V70" i="22"/>
  <c r="V65" i="22"/>
  <c r="Y73" i="23"/>
  <c r="Y80" i="23"/>
  <c r="Y64" i="23"/>
  <c r="Q76" i="22"/>
  <c r="R76" i="22"/>
  <c r="P71" i="22"/>
  <c r="P66" i="22"/>
  <c r="M72" i="22"/>
  <c r="M67" i="22"/>
  <c r="P65" i="22"/>
  <c r="P70" i="22"/>
  <c r="P65" i="23"/>
  <c r="P81" i="23"/>
  <c r="P74" i="23"/>
  <c r="N71" i="22"/>
  <c r="O71" i="22"/>
  <c r="Q69" i="22"/>
  <c r="R69" i="22"/>
  <c r="P64" i="23"/>
  <c r="P80" i="23"/>
  <c r="P73" i="23"/>
  <c r="N66" i="22"/>
  <c r="O66" i="22"/>
  <c r="Q74" i="22"/>
  <c r="R74" i="22"/>
  <c r="O65" i="22"/>
  <c r="N65" i="22"/>
  <c r="AA65" i="22"/>
  <c r="Z65" i="22"/>
  <c r="P64" i="20"/>
  <c r="P73" i="20"/>
  <c r="P80" i="20"/>
  <c r="M66" i="20"/>
  <c r="M75" i="20"/>
  <c r="M70" i="20"/>
  <c r="M82" i="20"/>
  <c r="P77" i="20"/>
  <c r="P84" i="20"/>
  <c r="P68" i="20"/>
  <c r="P72" i="20"/>
  <c r="M84" i="20"/>
  <c r="M68" i="20"/>
  <c r="M72" i="20"/>
  <c r="M77" i="20"/>
  <c r="P72" i="22"/>
  <c r="P67" i="22"/>
  <c r="V64" i="23"/>
  <c r="V73" i="23"/>
  <c r="V80" i="23"/>
  <c r="P84" i="23"/>
  <c r="P77" i="23"/>
  <c r="P68" i="23"/>
  <c r="P79" i="23"/>
  <c r="AA70" i="22"/>
  <c r="Z70" i="22"/>
  <c r="O70" i="22"/>
  <c r="N70" i="22"/>
  <c r="Z74" i="21"/>
  <c r="AA74" i="21"/>
  <c r="W74" i="21"/>
  <c r="X74" i="21"/>
  <c r="O73" i="21"/>
  <c r="N73" i="21"/>
  <c r="W73" i="21"/>
  <c r="X73" i="21"/>
  <c r="T64" i="21"/>
  <c r="U64" i="21"/>
  <c r="N72" i="21"/>
  <c r="O72" i="21"/>
  <c r="W72" i="21"/>
  <c r="X72" i="21"/>
  <c r="U69" i="21"/>
  <c r="S56" i="21" s="1"/>
  <c r="S70" i="21"/>
  <c r="T69" i="21"/>
  <c r="U73" i="21"/>
  <c r="T73" i="21"/>
  <c r="W65" i="21"/>
  <c r="X65" i="21"/>
  <c r="Z75" i="21"/>
  <c r="AA75" i="21"/>
  <c r="Z64" i="21"/>
  <c r="AA64" i="21"/>
  <c r="O69" i="21"/>
  <c r="M56" i="21" s="1"/>
  <c r="M70" i="21"/>
  <c r="N69" i="21"/>
  <c r="U65" i="21"/>
  <c r="T65" i="21"/>
  <c r="T72" i="21"/>
  <c r="U72" i="21"/>
  <c r="W75" i="21"/>
  <c r="X75" i="21"/>
  <c r="S74" i="21"/>
  <c r="W66" i="21"/>
  <c r="X66" i="21"/>
  <c r="N75" i="21"/>
  <c r="O75" i="21"/>
  <c r="Z66" i="21"/>
  <c r="AA66" i="21"/>
  <c r="AA73" i="21"/>
  <c r="Z73" i="21"/>
  <c r="V70" i="21"/>
  <c r="W69" i="21"/>
  <c r="X69" i="21"/>
  <c r="V56" i="21" s="1"/>
  <c r="Q70" i="21"/>
  <c r="R70" i="21"/>
  <c r="Q74" i="21"/>
  <c r="R74" i="21"/>
  <c r="Z65" i="21"/>
  <c r="AA65" i="21"/>
  <c r="Z72" i="21"/>
  <c r="AA72" i="21"/>
  <c r="N65" i="21"/>
  <c r="O65" i="21"/>
  <c r="Q73" i="21"/>
  <c r="R73" i="21"/>
  <c r="Q75" i="21"/>
  <c r="R75" i="21"/>
  <c r="W64" i="21"/>
  <c r="X64" i="21"/>
  <c r="T66" i="21"/>
  <c r="U66" i="21"/>
  <c r="R72" i="21"/>
  <c r="Q72" i="21"/>
  <c r="N67" i="21"/>
  <c r="O67" i="21"/>
  <c r="M74" i="21"/>
  <c r="J67" i="22"/>
  <c r="J72" i="22"/>
  <c r="K72" i="22" s="1"/>
  <c r="J75" i="22"/>
  <c r="K75" i="22" s="1"/>
  <c r="J73" i="22"/>
  <c r="K73" i="22" s="1"/>
  <c r="J76" i="22"/>
  <c r="K76" i="22" s="1"/>
  <c r="J65" i="22"/>
  <c r="K65" i="22" s="1"/>
  <c r="L70" i="22"/>
  <c r="J69" i="22"/>
  <c r="K69" i="22" s="1"/>
  <c r="J68" i="22"/>
  <c r="K68" i="22" s="1"/>
  <c r="J10" i="22"/>
  <c r="J12" i="23"/>
  <c r="J71" i="23" s="1"/>
  <c r="J9" i="23"/>
  <c r="J73" i="23" s="1"/>
  <c r="K73" i="23" s="1"/>
  <c r="J13" i="23"/>
  <c r="J72" i="23" s="1"/>
  <c r="J11" i="23"/>
  <c r="J70" i="23" s="1"/>
  <c r="J14" i="19"/>
  <c r="J14" i="23"/>
  <c r="J10" i="23"/>
  <c r="J69" i="23" s="1"/>
  <c r="J13" i="19"/>
  <c r="J13" i="20"/>
  <c r="J13" i="21"/>
  <c r="J14" i="20"/>
  <c r="J14" i="21"/>
  <c r="J10" i="20"/>
  <c r="J10" i="21"/>
  <c r="J11" i="21"/>
  <c r="J11" i="20"/>
  <c r="J12" i="20"/>
  <c r="J12" i="21"/>
  <c r="J9" i="20"/>
  <c r="J73" i="20" s="1"/>
  <c r="J9" i="21"/>
  <c r="J10" i="19"/>
  <c r="J11" i="19"/>
  <c r="J12" i="19"/>
  <c r="J9" i="19"/>
  <c r="P53" i="21" l="1"/>
  <c r="M53" i="21"/>
  <c r="Z70" i="21"/>
  <c r="Y46" i="21" s="1"/>
  <c r="X71" i="23"/>
  <c r="T69" i="23"/>
  <c r="U70" i="23"/>
  <c r="X78" i="20"/>
  <c r="Z78" i="20"/>
  <c r="AA79" i="20"/>
  <c r="U78" i="20"/>
  <c r="J69" i="20"/>
  <c r="K69" i="20" s="1"/>
  <c r="J74" i="20"/>
  <c r="K74" i="20" s="1"/>
  <c r="J79" i="20"/>
  <c r="K79" i="20" s="1"/>
  <c r="J77" i="20"/>
  <c r="K77" i="20" s="1"/>
  <c r="J72" i="20"/>
  <c r="K72" i="20" s="1"/>
  <c r="X79" i="20"/>
  <c r="J78" i="20"/>
  <c r="K78" i="20" s="1"/>
  <c r="J76" i="20"/>
  <c r="K76" i="20" s="1"/>
  <c r="J71" i="20"/>
  <c r="K71" i="20" s="1"/>
  <c r="J70" i="20"/>
  <c r="K70" i="20" s="1"/>
  <c r="J75" i="20"/>
  <c r="K75" i="20" s="1"/>
  <c r="M45" i="21"/>
  <c r="J75" i="23"/>
  <c r="K75" i="23" s="1"/>
  <c r="M54" i="19"/>
  <c r="M55" i="19" s="1"/>
  <c r="Y54" i="21"/>
  <c r="Y55" i="21" s="1"/>
  <c r="V53" i="21"/>
  <c r="V54" i="19"/>
  <c r="V55" i="19" s="1"/>
  <c r="P54" i="19"/>
  <c r="P55" i="19" s="1"/>
  <c r="M54" i="21"/>
  <c r="M55" i="21" s="1"/>
  <c r="P48" i="21"/>
  <c r="Y59" i="21"/>
  <c r="P59" i="21"/>
  <c r="Y54" i="19"/>
  <c r="Y55" i="19" s="1"/>
  <c r="P57" i="21"/>
  <c r="Y48" i="21"/>
  <c r="S54" i="19"/>
  <c r="S55" i="19" s="1"/>
  <c r="Y57" i="21"/>
  <c r="S85" i="22"/>
  <c r="T85" i="22" s="1"/>
  <c r="S84" i="22"/>
  <c r="T84" i="22" s="1"/>
  <c r="S82" i="22"/>
  <c r="T82" i="22" s="1"/>
  <c r="S86" i="22"/>
  <c r="T86" i="22" s="1"/>
  <c r="S83" i="22"/>
  <c r="T83" i="22" s="1"/>
  <c r="S87" i="22"/>
  <c r="T87" i="22" s="1"/>
  <c r="V84" i="22"/>
  <c r="W84" i="22" s="1"/>
  <c r="V83" i="22"/>
  <c r="W83" i="22" s="1"/>
  <c r="V87" i="22"/>
  <c r="W87" i="22" s="1"/>
  <c r="V85" i="22"/>
  <c r="W85" i="22" s="1"/>
  <c r="V82" i="22"/>
  <c r="W82" i="22" s="1"/>
  <c r="V86" i="22"/>
  <c r="W86" i="22" s="1"/>
  <c r="M83" i="22"/>
  <c r="N83" i="22" s="1"/>
  <c r="M87" i="22"/>
  <c r="N87" i="22" s="1"/>
  <c r="M86" i="22"/>
  <c r="N86" i="22" s="1"/>
  <c r="M84" i="22"/>
  <c r="N84" i="22" s="1"/>
  <c r="M82" i="22"/>
  <c r="N82" i="22" s="1"/>
  <c r="M85" i="22"/>
  <c r="N85" i="22" s="1"/>
  <c r="Y83" i="22"/>
  <c r="Z83" i="22" s="1"/>
  <c r="Y87" i="22"/>
  <c r="Z87" i="22" s="1"/>
  <c r="Y84" i="22"/>
  <c r="Z84" i="22" s="1"/>
  <c r="Y86" i="22"/>
  <c r="Z86" i="22" s="1"/>
  <c r="Y85" i="22"/>
  <c r="Z85" i="22" s="1"/>
  <c r="Y82" i="22"/>
  <c r="Z82" i="22" s="1"/>
  <c r="Y77" i="19"/>
  <c r="Z77" i="19" s="1"/>
  <c r="Y74" i="19"/>
  <c r="Z74" i="19" s="1"/>
  <c r="Y78" i="19"/>
  <c r="Z78" i="19" s="1"/>
  <c r="Y73" i="19"/>
  <c r="Z73" i="19" s="1"/>
  <c r="Y75" i="19"/>
  <c r="Z75" i="19" s="1"/>
  <c r="Y76" i="19"/>
  <c r="Z76" i="19" s="1"/>
  <c r="M74" i="19"/>
  <c r="N74" i="19" s="1"/>
  <c r="M78" i="19"/>
  <c r="N78" i="19" s="1"/>
  <c r="M77" i="19"/>
  <c r="N77" i="19" s="1"/>
  <c r="M75" i="19"/>
  <c r="N75" i="19" s="1"/>
  <c r="M73" i="19"/>
  <c r="N73" i="19" s="1"/>
  <c r="M76" i="19"/>
  <c r="N76" i="19" s="1"/>
  <c r="P73" i="19"/>
  <c r="Q73" i="19" s="1"/>
  <c r="P77" i="19"/>
  <c r="Q77" i="19" s="1"/>
  <c r="P74" i="19"/>
  <c r="Q74" i="19" s="1"/>
  <c r="P78" i="19"/>
  <c r="Q78" i="19" s="1"/>
  <c r="P75" i="19"/>
  <c r="Q75" i="19" s="1"/>
  <c r="P76" i="19"/>
  <c r="Q76" i="19" s="1"/>
  <c r="V75" i="19"/>
  <c r="W75" i="19" s="1"/>
  <c r="V74" i="19"/>
  <c r="W74" i="19" s="1"/>
  <c r="V76" i="19"/>
  <c r="W76" i="19" s="1"/>
  <c r="V73" i="19"/>
  <c r="W73" i="19" s="1"/>
  <c r="V77" i="19"/>
  <c r="W77" i="19" s="1"/>
  <c r="V78" i="19"/>
  <c r="W78" i="19" s="1"/>
  <c r="V45" i="21"/>
  <c r="Y53" i="21"/>
  <c r="P54" i="21"/>
  <c r="P55" i="21" s="1"/>
  <c r="Y45" i="21"/>
  <c r="S53" i="21"/>
  <c r="S54" i="21"/>
  <c r="S55" i="21" s="1"/>
  <c r="P46" i="21"/>
  <c r="V59" i="21"/>
  <c r="S45" i="21"/>
  <c r="V54" i="21"/>
  <c r="V55" i="21" s="1"/>
  <c r="V48" i="21"/>
  <c r="V48" i="20"/>
  <c r="V48" i="22"/>
  <c r="P48" i="23"/>
  <c r="M48" i="22"/>
  <c r="S48" i="20"/>
  <c r="Y48" i="19"/>
  <c r="Y48" i="23"/>
  <c r="S48" i="23"/>
  <c r="V48" i="23"/>
  <c r="P48" i="19"/>
  <c r="W82" i="23"/>
  <c r="X82" i="23"/>
  <c r="X66" i="22"/>
  <c r="W66" i="22"/>
  <c r="W68" i="22"/>
  <c r="X68" i="22"/>
  <c r="T66" i="20"/>
  <c r="U66" i="20"/>
  <c r="T82" i="20"/>
  <c r="U82" i="20"/>
  <c r="X71" i="19"/>
  <c r="V59" i="19" s="1"/>
  <c r="W71" i="19"/>
  <c r="V48" i="19" s="1"/>
  <c r="Z65" i="20"/>
  <c r="AA65" i="20"/>
  <c r="W76" i="23"/>
  <c r="X76" i="23"/>
  <c r="Z75" i="22"/>
  <c r="AA75" i="22"/>
  <c r="U84" i="20"/>
  <c r="T84" i="20"/>
  <c r="T76" i="20"/>
  <c r="U76" i="20"/>
  <c r="W66" i="23"/>
  <c r="X66" i="23"/>
  <c r="AA74" i="22"/>
  <c r="Z74" i="22"/>
  <c r="W71" i="20"/>
  <c r="X71" i="20"/>
  <c r="T66" i="19"/>
  <c r="S46" i="19" s="1"/>
  <c r="U66" i="19"/>
  <c r="S57" i="19" s="1"/>
  <c r="Z75" i="20"/>
  <c r="AA75" i="20"/>
  <c r="T73" i="22"/>
  <c r="U73" i="22"/>
  <c r="AA68" i="20"/>
  <c r="Z68" i="20"/>
  <c r="Z83" i="20"/>
  <c r="AA83" i="20"/>
  <c r="X75" i="23"/>
  <c r="W75" i="23"/>
  <c r="U72" i="20"/>
  <c r="T72" i="20"/>
  <c r="R80" i="22"/>
  <c r="P59" i="22" s="1"/>
  <c r="Q80" i="22"/>
  <c r="P48" i="22" s="1"/>
  <c r="W70" i="20"/>
  <c r="X70" i="20"/>
  <c r="Z68" i="22"/>
  <c r="AA68" i="22"/>
  <c r="AA84" i="20"/>
  <c r="Z84" i="20"/>
  <c r="W72" i="22"/>
  <c r="X72" i="22"/>
  <c r="W84" i="20"/>
  <c r="X84" i="20"/>
  <c r="T84" i="23"/>
  <c r="U84" i="23"/>
  <c r="T80" i="22"/>
  <c r="S48" i="22" s="1"/>
  <c r="U80" i="22"/>
  <c r="S59" i="22" s="1"/>
  <c r="T71" i="20"/>
  <c r="U71" i="20"/>
  <c r="X76" i="20"/>
  <c r="W76" i="20"/>
  <c r="R88" i="20"/>
  <c r="P59" i="20" s="1"/>
  <c r="Q88" i="20"/>
  <c r="P48" i="20" s="1"/>
  <c r="Z71" i="20"/>
  <c r="AA71" i="20"/>
  <c r="W74" i="20"/>
  <c r="X74" i="20"/>
  <c r="O88" i="23"/>
  <c r="M59" i="23" s="1"/>
  <c r="N88" i="23"/>
  <c r="M48" i="23" s="1"/>
  <c r="AA76" i="20"/>
  <c r="Z76" i="20"/>
  <c r="Z66" i="20"/>
  <c r="AA66" i="20"/>
  <c r="W78" i="23"/>
  <c r="X78" i="23"/>
  <c r="T68" i="22"/>
  <c r="U68" i="22"/>
  <c r="W66" i="20"/>
  <c r="X66" i="20"/>
  <c r="T75" i="23"/>
  <c r="U75" i="23"/>
  <c r="T69" i="20"/>
  <c r="U69" i="20"/>
  <c r="W75" i="22"/>
  <c r="X75" i="22"/>
  <c r="X68" i="20"/>
  <c r="W68" i="20"/>
  <c r="T65" i="23"/>
  <c r="U65" i="23"/>
  <c r="T75" i="20"/>
  <c r="U75" i="20"/>
  <c r="N71" i="19"/>
  <c r="M48" i="19" s="1"/>
  <c r="O71" i="19"/>
  <c r="M59" i="19" s="1"/>
  <c r="Z66" i="22"/>
  <c r="AA66" i="22"/>
  <c r="W72" i="20"/>
  <c r="X72" i="20"/>
  <c r="T68" i="23"/>
  <c r="U68" i="23"/>
  <c r="W76" i="22"/>
  <c r="X76" i="22"/>
  <c r="Z69" i="20"/>
  <c r="AA69" i="20"/>
  <c r="X67" i="23"/>
  <c r="W67" i="23"/>
  <c r="U71" i="22"/>
  <c r="T71" i="22"/>
  <c r="AA74" i="20"/>
  <c r="Z74" i="20"/>
  <c r="T68" i="20"/>
  <c r="U68" i="20"/>
  <c r="T76" i="22"/>
  <c r="U76" i="22"/>
  <c r="O66" i="19"/>
  <c r="M57" i="19" s="1"/>
  <c r="N66" i="19"/>
  <c r="M46" i="19" s="1"/>
  <c r="X65" i="20"/>
  <c r="W65" i="20"/>
  <c r="T81" i="23"/>
  <c r="U81" i="23"/>
  <c r="T67" i="20"/>
  <c r="U67" i="20"/>
  <c r="T79" i="23"/>
  <c r="U79" i="23"/>
  <c r="T67" i="23"/>
  <c r="U67" i="23"/>
  <c r="Z88" i="20"/>
  <c r="Y48" i="20" s="1"/>
  <c r="AA88" i="20"/>
  <c r="Y59" i="20" s="1"/>
  <c r="U74" i="22"/>
  <c r="T74" i="22"/>
  <c r="AA70" i="20"/>
  <c r="Z70" i="20"/>
  <c r="T83" i="23"/>
  <c r="U83" i="23"/>
  <c r="X81" i="20"/>
  <c r="W81" i="20"/>
  <c r="U78" i="23"/>
  <c r="T78" i="23"/>
  <c r="T81" i="20"/>
  <c r="U81" i="20"/>
  <c r="W66" i="19"/>
  <c r="V46" i="19" s="1"/>
  <c r="X66" i="19"/>
  <c r="V57" i="19" s="1"/>
  <c r="T71" i="19"/>
  <c r="S48" i="19" s="1"/>
  <c r="U71" i="19"/>
  <c r="S59" i="19" s="1"/>
  <c r="T76" i="23"/>
  <c r="U76" i="23"/>
  <c r="U72" i="22"/>
  <c r="T72" i="22"/>
  <c r="X83" i="20"/>
  <c r="W83" i="20"/>
  <c r="T82" i="23"/>
  <c r="U82" i="23"/>
  <c r="Z76" i="22"/>
  <c r="AA76" i="22"/>
  <c r="N88" i="20"/>
  <c r="M48" i="20" s="1"/>
  <c r="O88" i="20"/>
  <c r="M59" i="20" s="1"/>
  <c r="AA66" i="19"/>
  <c r="Y57" i="19" s="1"/>
  <c r="Z66" i="19"/>
  <c r="Y46" i="19" s="1"/>
  <c r="W74" i="22"/>
  <c r="X74" i="22"/>
  <c r="T77" i="20"/>
  <c r="U77" i="20"/>
  <c r="X75" i="20"/>
  <c r="W75" i="20"/>
  <c r="T77" i="23"/>
  <c r="U77" i="23"/>
  <c r="T65" i="20"/>
  <c r="U65" i="20"/>
  <c r="Z80" i="22"/>
  <c r="Y48" i="22" s="1"/>
  <c r="AA80" i="22"/>
  <c r="Y59" i="22" s="1"/>
  <c r="Z67" i="22"/>
  <c r="AA67" i="22"/>
  <c r="Z72" i="20"/>
  <c r="AA72" i="20"/>
  <c r="Q66" i="19"/>
  <c r="P46" i="19" s="1"/>
  <c r="R66" i="19"/>
  <c r="P57" i="19" s="1"/>
  <c r="L67" i="22"/>
  <c r="K67" i="22"/>
  <c r="N68" i="20"/>
  <c r="O68" i="20"/>
  <c r="R83" i="20"/>
  <c r="Q83" i="20"/>
  <c r="Z73" i="20"/>
  <c r="AA73" i="20"/>
  <c r="U80" i="23"/>
  <c r="T80" i="23"/>
  <c r="R83" i="23"/>
  <c r="Q83" i="23"/>
  <c r="W80" i="23"/>
  <c r="X80" i="23"/>
  <c r="O70" i="20"/>
  <c r="N70" i="20"/>
  <c r="Q64" i="23"/>
  <c r="R64" i="23"/>
  <c r="N65" i="23"/>
  <c r="O65" i="23"/>
  <c r="Q76" i="20"/>
  <c r="R76" i="20"/>
  <c r="N73" i="23"/>
  <c r="O73" i="23"/>
  <c r="Z64" i="20"/>
  <c r="AA64" i="20"/>
  <c r="Q70" i="20"/>
  <c r="R70" i="20"/>
  <c r="T73" i="23"/>
  <c r="U73" i="23"/>
  <c r="N64" i="20"/>
  <c r="O64" i="20"/>
  <c r="W80" i="20"/>
  <c r="X80" i="20"/>
  <c r="R81" i="20"/>
  <c r="Q81" i="20"/>
  <c r="Q80" i="23"/>
  <c r="R80" i="23"/>
  <c r="T70" i="22"/>
  <c r="U70" i="22"/>
  <c r="Q82" i="20"/>
  <c r="R82" i="20"/>
  <c r="N73" i="20"/>
  <c r="O73" i="20"/>
  <c r="W64" i="20"/>
  <c r="X64" i="20"/>
  <c r="X73" i="23"/>
  <c r="W73" i="23"/>
  <c r="N84" i="20"/>
  <c r="O84" i="20"/>
  <c r="N75" i="20"/>
  <c r="O75" i="20"/>
  <c r="Q70" i="22"/>
  <c r="R70" i="22"/>
  <c r="Z64" i="23"/>
  <c r="Y45" i="23" s="1"/>
  <c r="AA64" i="23"/>
  <c r="Y53" i="23" s="1"/>
  <c r="N81" i="23"/>
  <c r="O81" i="23"/>
  <c r="Q71" i="20"/>
  <c r="R71" i="20"/>
  <c r="O80" i="23"/>
  <c r="N80" i="23"/>
  <c r="Z80" i="20"/>
  <c r="AA80" i="20"/>
  <c r="T64" i="23"/>
  <c r="U64" i="23"/>
  <c r="N67" i="23"/>
  <c r="O67" i="23"/>
  <c r="R69" i="20"/>
  <c r="Q69" i="20"/>
  <c r="Q84" i="23"/>
  <c r="R84" i="23"/>
  <c r="W64" i="23"/>
  <c r="X64" i="23"/>
  <c r="Q72" i="20"/>
  <c r="R72" i="20"/>
  <c r="O66" i="20"/>
  <c r="N66" i="20"/>
  <c r="Q65" i="22"/>
  <c r="R65" i="22"/>
  <c r="Z80" i="23"/>
  <c r="AA80" i="23"/>
  <c r="Y54" i="23" s="1"/>
  <c r="Y55" i="23" s="1"/>
  <c r="N84" i="23"/>
  <c r="O84" i="23"/>
  <c r="R67" i="20"/>
  <c r="Q67" i="20"/>
  <c r="N76" i="20"/>
  <c r="O76" i="20"/>
  <c r="N64" i="23"/>
  <c r="O64" i="23"/>
  <c r="R73" i="22"/>
  <c r="Q73" i="22"/>
  <c r="O82" i="23"/>
  <c r="N82" i="23"/>
  <c r="R75" i="23"/>
  <c r="Q75" i="23"/>
  <c r="O83" i="23"/>
  <c r="N83" i="23"/>
  <c r="Q74" i="20"/>
  <c r="R74" i="20"/>
  <c r="O74" i="23"/>
  <c r="N74" i="23"/>
  <c r="Q67" i="22"/>
  <c r="R67" i="22"/>
  <c r="Q68" i="20"/>
  <c r="R68" i="20"/>
  <c r="Q80" i="20"/>
  <c r="R80" i="20"/>
  <c r="N67" i="22"/>
  <c r="O67" i="22"/>
  <c r="Z73" i="23"/>
  <c r="AA73" i="23"/>
  <c r="Y57" i="23" s="1"/>
  <c r="N67" i="20"/>
  <c r="O67" i="20"/>
  <c r="N69" i="20"/>
  <c r="O69" i="20"/>
  <c r="Q75" i="22"/>
  <c r="R75" i="22"/>
  <c r="O75" i="23"/>
  <c r="N75" i="23"/>
  <c r="Q66" i="23"/>
  <c r="R66" i="23"/>
  <c r="N76" i="23"/>
  <c r="O76" i="23"/>
  <c r="Q76" i="23"/>
  <c r="R76" i="23"/>
  <c r="Q65" i="20"/>
  <c r="R65" i="20"/>
  <c r="Q65" i="23"/>
  <c r="R65" i="23"/>
  <c r="Q79" i="23"/>
  <c r="R79" i="23"/>
  <c r="Q72" i="22"/>
  <c r="R72" i="22"/>
  <c r="Q84" i="20"/>
  <c r="R84" i="20"/>
  <c r="R73" i="20"/>
  <c r="Q73" i="20"/>
  <c r="N72" i="22"/>
  <c r="O72" i="22"/>
  <c r="W65" i="22"/>
  <c r="X65" i="22"/>
  <c r="N68" i="23"/>
  <c r="O68" i="23"/>
  <c r="U80" i="20"/>
  <c r="T80" i="20"/>
  <c r="N83" i="20"/>
  <c r="O83" i="20"/>
  <c r="N65" i="20"/>
  <c r="O65" i="20"/>
  <c r="Q68" i="22"/>
  <c r="R68" i="22"/>
  <c r="O66" i="23"/>
  <c r="N66" i="23"/>
  <c r="Q82" i="23"/>
  <c r="R82" i="23"/>
  <c r="N78" i="23"/>
  <c r="O78" i="23"/>
  <c r="Q67" i="23"/>
  <c r="R67" i="23"/>
  <c r="N73" i="22"/>
  <c r="O73" i="22"/>
  <c r="O82" i="20"/>
  <c r="N82" i="20"/>
  <c r="Q68" i="23"/>
  <c r="R68" i="23"/>
  <c r="N77" i="20"/>
  <c r="O77" i="20"/>
  <c r="Q64" i="20"/>
  <c r="R64" i="20"/>
  <c r="Q74" i="23"/>
  <c r="R74" i="23"/>
  <c r="Q66" i="22"/>
  <c r="R66" i="22"/>
  <c r="W70" i="22"/>
  <c r="X70" i="22"/>
  <c r="N77" i="23"/>
  <c r="O77" i="23"/>
  <c r="T73" i="20"/>
  <c r="U73" i="20"/>
  <c r="N71" i="20"/>
  <c r="O71" i="20"/>
  <c r="N81" i="20"/>
  <c r="O81" i="20"/>
  <c r="R75" i="20"/>
  <c r="Q75" i="20"/>
  <c r="R78" i="23"/>
  <c r="Q78" i="23"/>
  <c r="N75" i="22"/>
  <c r="O75" i="22"/>
  <c r="R77" i="23"/>
  <c r="Q77" i="23"/>
  <c r="O72" i="20"/>
  <c r="N72" i="20"/>
  <c r="R77" i="20"/>
  <c r="Q77" i="20"/>
  <c r="Q73" i="23"/>
  <c r="R73" i="23"/>
  <c r="Q81" i="23"/>
  <c r="R81" i="23"/>
  <c r="R71" i="22"/>
  <c r="Q71" i="22"/>
  <c r="N79" i="23"/>
  <c r="O79" i="23"/>
  <c r="T64" i="20"/>
  <c r="U64" i="20"/>
  <c r="T65" i="22"/>
  <c r="U65" i="22"/>
  <c r="O74" i="20"/>
  <c r="N74" i="20"/>
  <c r="Q66" i="20"/>
  <c r="R66" i="20"/>
  <c r="O80" i="20"/>
  <c r="N80" i="20"/>
  <c r="X73" i="20"/>
  <c r="W73" i="20"/>
  <c r="O68" i="22"/>
  <c r="N68" i="22"/>
  <c r="T74" i="21"/>
  <c r="S48" i="21" s="1"/>
  <c r="U74" i="21"/>
  <c r="S59" i="21" s="1"/>
  <c r="N70" i="21"/>
  <c r="M46" i="21" s="1"/>
  <c r="O70" i="21"/>
  <c r="M57" i="21" s="1"/>
  <c r="W70" i="21"/>
  <c r="V46" i="21" s="1"/>
  <c r="X70" i="21"/>
  <c r="V57" i="21" s="1"/>
  <c r="O74" i="21"/>
  <c r="M59" i="21" s="1"/>
  <c r="N74" i="21"/>
  <c r="M48" i="21" s="1"/>
  <c r="T70" i="21"/>
  <c r="S46" i="21" s="1"/>
  <c r="U70" i="21"/>
  <c r="S57" i="21" s="1"/>
  <c r="J77" i="23"/>
  <c r="K77" i="23" s="1"/>
  <c r="J79" i="23"/>
  <c r="K79" i="23" s="1"/>
  <c r="L73" i="23"/>
  <c r="J76" i="23"/>
  <c r="K76" i="23" s="1"/>
  <c r="J78" i="23"/>
  <c r="K78" i="23" s="1"/>
  <c r="J74" i="23"/>
  <c r="K74" i="23" s="1"/>
  <c r="K69" i="23"/>
  <c r="L65" i="22"/>
  <c r="K70" i="23"/>
  <c r="J66" i="23"/>
  <c r="K66" i="23" s="1"/>
  <c r="J68" i="23"/>
  <c r="K68" i="23" s="1"/>
  <c r="K72" i="23"/>
  <c r="J64" i="23"/>
  <c r="K64" i="23" s="1"/>
  <c r="J67" i="23"/>
  <c r="K67" i="23" s="1"/>
  <c r="K71" i="23"/>
  <c r="J65" i="23"/>
  <c r="K65" i="23" s="1"/>
  <c r="J66" i="22"/>
  <c r="K66" i="22" s="1"/>
  <c r="J71" i="22"/>
  <c r="K71" i="22" s="1"/>
  <c r="L74" i="22"/>
  <c r="L73" i="22"/>
  <c r="L68" i="22"/>
  <c r="L72" i="22"/>
  <c r="L75" i="22"/>
  <c r="L69" i="22"/>
  <c r="L76" i="22"/>
  <c r="J80" i="20"/>
  <c r="K80" i="20" s="1"/>
  <c r="K73" i="20"/>
  <c r="J64" i="20"/>
  <c r="K64" i="20" s="1"/>
  <c r="J83" i="20"/>
  <c r="K83" i="20" s="1"/>
  <c r="J67" i="20"/>
  <c r="K67" i="20" s="1"/>
  <c r="J84" i="20"/>
  <c r="K84" i="20" s="1"/>
  <c r="J68" i="20"/>
  <c r="K68" i="20" s="1"/>
  <c r="J82" i="20"/>
  <c r="K82" i="20" s="1"/>
  <c r="J66" i="20"/>
  <c r="K66" i="20" s="1"/>
  <c r="J65" i="20"/>
  <c r="K65" i="20" s="1"/>
  <c r="J81" i="20"/>
  <c r="K81" i="20" s="1"/>
  <c r="J83" i="23"/>
  <c r="K83" i="23" s="1"/>
  <c r="J82" i="23"/>
  <c r="K82" i="23" s="1"/>
  <c r="J84" i="23"/>
  <c r="K84" i="23" s="1"/>
  <c r="J81" i="23"/>
  <c r="K81" i="23" s="1"/>
  <c r="J80" i="23"/>
  <c r="K80" i="23" s="1"/>
  <c r="G50" i="6"/>
  <c r="G51" i="6" s="1"/>
  <c r="H50" i="6"/>
  <c r="F50" i="6"/>
  <c r="D50" i="6"/>
  <c r="E50" i="6"/>
  <c r="D8" i="6"/>
  <c r="D20" i="6"/>
  <c r="D19" i="6"/>
  <c r="D13" i="6"/>
  <c r="D17" i="6"/>
  <c r="D23" i="6"/>
  <c r="D10" i="6"/>
  <c r="D7" i="6"/>
  <c r="D14" i="6"/>
  <c r="D24" i="6"/>
  <c r="D11" i="6"/>
  <c r="D3" i="6"/>
  <c r="D16" i="6"/>
  <c r="F24" i="6"/>
  <c r="F11" i="6"/>
  <c r="F16" i="6"/>
  <c r="F8" i="6"/>
  <c r="F20" i="6"/>
  <c r="F23" i="6"/>
  <c r="F13" i="6"/>
  <c r="F10" i="6"/>
  <c r="F17" i="6"/>
  <c r="F7" i="6"/>
  <c r="F14" i="6"/>
  <c r="F19" i="6"/>
  <c r="E16" i="6"/>
  <c r="E8" i="6"/>
  <c r="E20" i="6"/>
  <c r="E14" i="6"/>
  <c r="E13" i="6"/>
  <c r="E17" i="6"/>
  <c r="E23" i="6"/>
  <c r="E10" i="6"/>
  <c r="E7" i="6"/>
  <c r="E19" i="6"/>
  <c r="E24" i="6"/>
  <c r="E11" i="6"/>
  <c r="E3" i="6"/>
  <c r="G7" i="9"/>
  <c r="E7" i="9"/>
  <c r="F7" i="9"/>
  <c r="D7" i="9"/>
  <c r="C7" i="9"/>
  <c r="F51" i="6" l="1"/>
  <c r="F89" i="6" s="1"/>
  <c r="F102" i="6" s="1"/>
  <c r="F88" i="6"/>
  <c r="L75" i="23"/>
  <c r="Y46" i="23"/>
  <c r="Y53" i="20"/>
  <c r="Y91" i="20" s="1"/>
  <c r="Z91" i="20" s="1"/>
  <c r="V54" i="23"/>
  <c r="V55" i="23" s="1"/>
  <c r="Y49" i="19"/>
  <c r="M49" i="19"/>
  <c r="V49" i="22"/>
  <c r="S49" i="22"/>
  <c r="M49" i="22"/>
  <c r="Y49" i="22"/>
  <c r="V49" i="19"/>
  <c r="P49" i="19"/>
  <c r="V54" i="22"/>
  <c r="V55" i="22" s="1"/>
  <c r="S53" i="20"/>
  <c r="S94" i="20" s="1"/>
  <c r="T94" i="20" s="1"/>
  <c r="V45" i="23"/>
  <c r="S54" i="23"/>
  <c r="S55" i="23" s="1"/>
  <c r="J45" i="23"/>
  <c r="V53" i="23"/>
  <c r="V53" i="20"/>
  <c r="V90" i="20" s="1"/>
  <c r="W90" i="20" s="1"/>
  <c r="M54" i="23"/>
  <c r="M55" i="23" s="1"/>
  <c r="S53" i="23"/>
  <c r="S94" i="23" s="1"/>
  <c r="V57" i="22"/>
  <c r="S54" i="20"/>
  <c r="S55" i="20" s="1"/>
  <c r="S54" i="22"/>
  <c r="S55" i="22" s="1"/>
  <c r="Y54" i="20"/>
  <c r="Y55" i="20" s="1"/>
  <c r="Y54" i="22"/>
  <c r="Y55" i="22" s="1"/>
  <c r="S57" i="22"/>
  <c r="M54" i="20"/>
  <c r="M55" i="20" s="1"/>
  <c r="P54" i="23"/>
  <c r="P55" i="23" s="1"/>
  <c r="P53" i="20"/>
  <c r="P95" i="20" s="1"/>
  <c r="Q95" i="20" s="1"/>
  <c r="H7" i="9"/>
  <c r="C11" i="25" s="1"/>
  <c r="J45" i="20"/>
  <c r="M57" i="22"/>
  <c r="M53" i="23"/>
  <c r="M91" i="23" s="1"/>
  <c r="M54" i="22"/>
  <c r="M55" i="22" s="1"/>
  <c r="P54" i="22"/>
  <c r="P55" i="22" s="1"/>
  <c r="P54" i="20"/>
  <c r="P55" i="20" s="1"/>
  <c r="V54" i="20"/>
  <c r="V55" i="20" s="1"/>
  <c r="Y57" i="22"/>
  <c r="J46" i="20"/>
  <c r="V57" i="23"/>
  <c r="Y93" i="23"/>
  <c r="Y95" i="23"/>
  <c r="Y91" i="23"/>
  <c r="Y92" i="23"/>
  <c r="Y90" i="23"/>
  <c r="Y94" i="23"/>
  <c r="M53" i="20"/>
  <c r="P53" i="23"/>
  <c r="S57" i="23"/>
  <c r="V57" i="20"/>
  <c r="J46" i="23"/>
  <c r="M57" i="23"/>
  <c r="P57" i="20"/>
  <c r="P57" i="23"/>
  <c r="M57" i="20"/>
  <c r="P57" i="22"/>
  <c r="S57" i="20"/>
  <c r="Y57" i="20"/>
  <c r="S45" i="23"/>
  <c r="Y45" i="20"/>
  <c r="G5" i="9" s="1"/>
  <c r="S45" i="20"/>
  <c r="V46" i="23"/>
  <c r="V45" i="20"/>
  <c r="J46" i="22"/>
  <c r="S46" i="22"/>
  <c r="P45" i="20"/>
  <c r="I50" i="6"/>
  <c r="V46" i="20"/>
  <c r="M46" i="22"/>
  <c r="M45" i="20"/>
  <c r="P45" i="23"/>
  <c r="M46" i="20"/>
  <c r="M45" i="23"/>
  <c r="S46" i="20"/>
  <c r="Y46" i="22"/>
  <c r="V46" i="22"/>
  <c r="Y46" i="20"/>
  <c r="P46" i="20"/>
  <c r="M46" i="23"/>
  <c r="P46" i="23"/>
  <c r="P46" i="22"/>
  <c r="S46" i="23"/>
  <c r="L79" i="23"/>
  <c r="E51" i="6"/>
  <c r="E67" i="6" s="1"/>
  <c r="C88" i="6"/>
  <c r="C42" i="6" a="1"/>
  <c r="C42" i="6" s="1"/>
  <c r="G8" i="9"/>
  <c r="L74" i="23"/>
  <c r="L76" i="23"/>
  <c r="L77" i="23"/>
  <c r="L66" i="22"/>
  <c r="J54" i="22" s="1"/>
  <c r="J55" i="22" s="1"/>
  <c r="L71" i="22"/>
  <c r="J57" i="22" s="1"/>
  <c r="D42" i="6" a="1"/>
  <c r="D42" i="6" s="1"/>
  <c r="E42" i="6" a="1"/>
  <c r="E42" i="6" s="1"/>
  <c r="H42" i="6" a="1"/>
  <c r="H42" i="6" s="1"/>
  <c r="G42" i="6" a="1"/>
  <c r="G42" i="6" s="1"/>
  <c r="F42" i="6" a="1"/>
  <c r="F42" i="6" s="1"/>
  <c r="F8" i="9"/>
  <c r="G67" i="6"/>
  <c r="D108" i="6"/>
  <c r="D51" i="6"/>
  <c r="D88" i="6"/>
  <c r="H51" i="6"/>
  <c r="E88" i="6"/>
  <c r="C8" i="9"/>
  <c r="E8" i="9"/>
  <c r="D8" i="9"/>
  <c r="L72" i="23"/>
  <c r="L70" i="23"/>
  <c r="L69" i="23"/>
  <c r="L75" i="20"/>
  <c r="L77" i="20"/>
  <c r="L73" i="20"/>
  <c r="L76" i="20"/>
  <c r="L74" i="20"/>
  <c r="L71" i="23"/>
  <c r="L78" i="23"/>
  <c r="L65" i="23"/>
  <c r="L83" i="23"/>
  <c r="L81" i="23"/>
  <c r="L64" i="23"/>
  <c r="L67" i="23"/>
  <c r="L84" i="23"/>
  <c r="L68" i="23"/>
  <c r="L66" i="23"/>
  <c r="L80" i="23"/>
  <c r="L82" i="23"/>
  <c r="L65" i="20"/>
  <c r="L79" i="20"/>
  <c r="L81" i="20"/>
  <c r="L72" i="20"/>
  <c r="L69" i="20"/>
  <c r="L67" i="20"/>
  <c r="L66" i="20"/>
  <c r="L83" i="20"/>
  <c r="L82" i="20"/>
  <c r="L78" i="20"/>
  <c r="L70" i="20"/>
  <c r="L71" i="20"/>
  <c r="L68" i="20"/>
  <c r="L80" i="20"/>
  <c r="L84" i="20"/>
  <c r="L64" i="20"/>
  <c r="F67" i="6" l="1"/>
  <c r="Y93" i="20"/>
  <c r="Z93" i="20" s="1"/>
  <c r="Y92" i="20"/>
  <c r="Z92" i="20" s="1"/>
  <c r="Y94" i="20"/>
  <c r="Z94" i="20" s="1"/>
  <c r="Y90" i="20"/>
  <c r="Z90" i="20" s="1"/>
  <c r="Y95" i="20"/>
  <c r="Z95" i="20" s="1"/>
  <c r="B5" i="9"/>
  <c r="F5" i="9"/>
  <c r="V94" i="20"/>
  <c r="W94" i="20" s="1"/>
  <c r="M92" i="23"/>
  <c r="N92" i="23" s="1"/>
  <c r="S90" i="23"/>
  <c r="T90" i="23" s="1"/>
  <c r="S91" i="20"/>
  <c r="T91" i="20" s="1"/>
  <c r="S92" i="20"/>
  <c r="T92" i="20" s="1"/>
  <c r="V95" i="20"/>
  <c r="W95" i="20" s="1"/>
  <c r="S95" i="20"/>
  <c r="T95" i="20" s="1"/>
  <c r="S93" i="23"/>
  <c r="T93" i="23" s="1"/>
  <c r="S93" i="20"/>
  <c r="T93" i="20" s="1"/>
  <c r="V92" i="20"/>
  <c r="W92" i="20" s="1"/>
  <c r="S92" i="23"/>
  <c r="T92" i="23" s="1"/>
  <c r="S90" i="20"/>
  <c r="T90" i="20" s="1"/>
  <c r="M94" i="23"/>
  <c r="N94" i="23" s="1"/>
  <c r="M90" i="23"/>
  <c r="N90" i="23" s="1"/>
  <c r="M93" i="23"/>
  <c r="N93" i="23" s="1"/>
  <c r="M95" i="23"/>
  <c r="N95" i="23" s="1"/>
  <c r="P91" i="20"/>
  <c r="Q91" i="20" s="1"/>
  <c r="P93" i="20"/>
  <c r="Q93" i="20" s="1"/>
  <c r="V93" i="20"/>
  <c r="W93" i="20" s="1"/>
  <c r="V91" i="20"/>
  <c r="W91" i="20" s="1"/>
  <c r="S91" i="23"/>
  <c r="S95" i="23"/>
  <c r="T95" i="23" s="1"/>
  <c r="J53" i="20"/>
  <c r="J94" i="20" s="1"/>
  <c r="K94" i="20" s="1"/>
  <c r="P92" i="20"/>
  <c r="Q92" i="20" s="1"/>
  <c r="P90" i="20"/>
  <c r="Q90" i="20" s="1"/>
  <c r="P94" i="20"/>
  <c r="Q94" i="20" s="1"/>
  <c r="J54" i="23"/>
  <c r="J55" i="23" s="1"/>
  <c r="J57" i="23"/>
  <c r="J54" i="20"/>
  <c r="J55" i="20" s="1"/>
  <c r="P92" i="23"/>
  <c r="P90" i="23"/>
  <c r="P95" i="23"/>
  <c r="P94" i="23"/>
  <c r="P93" i="23"/>
  <c r="P91" i="23"/>
  <c r="T94" i="23"/>
  <c r="Z94" i="23"/>
  <c r="J53" i="23"/>
  <c r="H8" i="9"/>
  <c r="C12" i="25" s="1"/>
  <c r="Z90" i="23"/>
  <c r="Z92" i="23"/>
  <c r="Z91" i="23"/>
  <c r="N91" i="23"/>
  <c r="Z95" i="23"/>
  <c r="Z93" i="23"/>
  <c r="J57" i="20"/>
  <c r="K86" i="22"/>
  <c r="J49" i="22" s="1"/>
  <c r="I51" i="6"/>
  <c r="C5" i="9"/>
  <c r="F73" i="6"/>
  <c r="F7" i="28" s="1"/>
  <c r="F71" i="6"/>
  <c r="F5" i="28" s="1"/>
  <c r="F74" i="6"/>
  <c r="F8" i="28" s="1"/>
  <c r="D71" i="6"/>
  <c r="D5" i="28" s="1"/>
  <c r="G73" i="6"/>
  <c r="G7" i="28" s="1"/>
  <c r="G71" i="6"/>
  <c r="G5" i="28" s="1"/>
  <c r="H73" i="6"/>
  <c r="H7" i="28" s="1"/>
  <c r="H71" i="6"/>
  <c r="H5" i="28" s="1"/>
  <c r="C89" i="6"/>
  <c r="C102" i="6" s="1"/>
  <c r="E5" i="9"/>
  <c r="G6" i="9"/>
  <c r="E6" i="9"/>
  <c r="F6" i="9"/>
  <c r="C6" i="9"/>
  <c r="D5" i="9"/>
  <c r="D6" i="9"/>
  <c r="H67" i="6"/>
  <c r="E89" i="6"/>
  <c r="E102" i="6" s="1"/>
  <c r="D67" i="6"/>
  <c r="D89" i="6"/>
  <c r="D102" i="6" s="1"/>
  <c r="Y49" i="20" l="1"/>
  <c r="V49" i="20"/>
  <c r="P49" i="20"/>
  <c r="S49" i="20"/>
  <c r="Y49" i="23"/>
  <c r="M49" i="23"/>
  <c r="T91" i="23"/>
  <c r="S49" i="23" s="1"/>
  <c r="J90" i="20"/>
  <c r="K90" i="20" s="1"/>
  <c r="J91" i="20"/>
  <c r="K91" i="20" s="1"/>
  <c r="J92" i="20"/>
  <c r="K92" i="20" s="1"/>
  <c r="J93" i="20"/>
  <c r="K93" i="20" s="1"/>
  <c r="J95" i="20"/>
  <c r="K95" i="20" s="1"/>
  <c r="H5" i="9"/>
  <c r="C9" i="25" s="1"/>
  <c r="Q94" i="23"/>
  <c r="Q95" i="23"/>
  <c r="Q90" i="23"/>
  <c r="Q92" i="23"/>
  <c r="Q91" i="23"/>
  <c r="Q93" i="23"/>
  <c r="J94" i="23"/>
  <c r="J91" i="23"/>
  <c r="J95" i="23"/>
  <c r="J92" i="23"/>
  <c r="J93" i="23"/>
  <c r="J90" i="23"/>
  <c r="D74" i="6"/>
  <c r="D8" i="28" s="1"/>
  <c r="B6" i="9"/>
  <c r="H6" i="9" s="1"/>
  <c r="P49" i="23" l="1"/>
  <c r="J49" i="20"/>
  <c r="K94" i="23"/>
  <c r="K93" i="23"/>
  <c r="K92" i="23"/>
  <c r="K95" i="23"/>
  <c r="K91" i="23"/>
  <c r="K90" i="23"/>
  <c r="C10" i="25"/>
  <c r="J49" i="23" l="1"/>
  <c r="C71" i="6" l="1"/>
  <c r="C5" i="28" s="1"/>
  <c r="E142" i="6" l="1"/>
  <c r="E108" i="6"/>
  <c r="C52" i="6" l="1"/>
  <c r="C46" i="6"/>
  <c r="H46" i="6"/>
  <c r="H52" i="6"/>
  <c r="E52" i="6"/>
  <c r="E7" i="26" s="1"/>
  <c r="G48" i="6"/>
  <c r="G52" i="6"/>
  <c r="E46" i="6"/>
  <c r="F48" i="6"/>
  <c r="D46" i="6"/>
  <c r="D52" i="6"/>
  <c r="D64" i="6" s="1"/>
  <c r="F52" i="6"/>
  <c r="F90" i="6" s="1"/>
  <c r="F99" i="6" s="1"/>
  <c r="G55" i="6"/>
  <c r="H55" i="6"/>
  <c r="H10" i="26" s="1"/>
  <c r="D55" i="6"/>
  <c r="E55" i="6"/>
  <c r="F55" i="6"/>
  <c r="E53" i="6"/>
  <c r="E8" i="26" s="1"/>
  <c r="G53" i="6"/>
  <c r="F53" i="6"/>
  <c r="H53" i="6"/>
  <c r="D53" i="6"/>
  <c r="C55" i="6"/>
  <c r="C53" i="6"/>
  <c r="E91" i="6" l="1"/>
  <c r="F91" i="6"/>
  <c r="E93" i="6"/>
  <c r="F93" i="6"/>
  <c r="F84" i="6"/>
  <c r="F64" i="6"/>
  <c r="E90" i="6"/>
  <c r="E99" i="6" s="1"/>
  <c r="I55" i="6"/>
  <c r="C64" i="6"/>
  <c r="I52" i="6"/>
  <c r="C43" i="25" s="1"/>
  <c r="I53" i="6"/>
  <c r="E64" i="6"/>
  <c r="M76" i="21"/>
  <c r="N76" i="21" s="1"/>
  <c r="M80" i="21"/>
  <c r="N80" i="21" s="1"/>
  <c r="M77" i="21"/>
  <c r="N77" i="21" s="1"/>
  <c r="M81" i="21"/>
  <c r="N81" i="21" s="1"/>
  <c r="M78" i="21"/>
  <c r="N78" i="21" s="1"/>
  <c r="M79" i="21"/>
  <c r="N79" i="21" s="1"/>
  <c r="P79" i="21"/>
  <c r="Q79" i="21" s="1"/>
  <c r="P76" i="21"/>
  <c r="Q76" i="21" s="1"/>
  <c r="P80" i="21"/>
  <c r="Q80" i="21" s="1"/>
  <c r="P77" i="21"/>
  <c r="Q77" i="21" s="1"/>
  <c r="P81" i="21"/>
  <c r="Q81" i="21" s="1"/>
  <c r="P78" i="21"/>
  <c r="Q78" i="21" s="1"/>
  <c r="V77" i="21"/>
  <c r="W77" i="21" s="1"/>
  <c r="V81" i="21"/>
  <c r="W81" i="21" s="1"/>
  <c r="V78" i="21"/>
  <c r="W78" i="21" s="1"/>
  <c r="V79" i="21"/>
  <c r="W79" i="21" s="1"/>
  <c r="V76" i="21"/>
  <c r="W76" i="21" s="1"/>
  <c r="V80" i="21"/>
  <c r="W80" i="21" s="1"/>
  <c r="S78" i="21"/>
  <c r="T78" i="21" s="1"/>
  <c r="S79" i="21"/>
  <c r="T79" i="21" s="1"/>
  <c r="S76" i="21"/>
  <c r="T76" i="21" s="1"/>
  <c r="S80" i="21"/>
  <c r="T80" i="21" s="1"/>
  <c r="S77" i="21"/>
  <c r="T77" i="21" s="1"/>
  <c r="S81" i="21"/>
  <c r="T81" i="21" s="1"/>
  <c r="Y76" i="21"/>
  <c r="Z76" i="21" s="1"/>
  <c r="Y80" i="21"/>
  <c r="Z80" i="21" s="1"/>
  <c r="Y77" i="21"/>
  <c r="Z77" i="21" s="1"/>
  <c r="Y81" i="21"/>
  <c r="Z81" i="21" s="1"/>
  <c r="Y78" i="21"/>
  <c r="Z78" i="21" s="1"/>
  <c r="Y79" i="21"/>
  <c r="Z79" i="21" s="1"/>
  <c r="J76" i="21"/>
  <c r="K76" i="21" s="1"/>
  <c r="J79" i="21"/>
  <c r="J80" i="21"/>
  <c r="K80" i="21" s="1"/>
  <c r="J78" i="21"/>
  <c r="K78" i="21" s="1"/>
  <c r="J81" i="21"/>
  <c r="K81" i="21" s="1"/>
  <c r="J77" i="21"/>
  <c r="K77" i="21" s="1"/>
  <c r="D44" i="6"/>
  <c r="E44" i="6"/>
  <c r="E45" i="6" s="1"/>
  <c r="E62" i="6" s="1"/>
  <c r="E74" i="6" s="1"/>
  <c r="E8" i="28" s="1"/>
  <c r="G44" i="6"/>
  <c r="G45" i="6" s="1"/>
  <c r="G62" i="6" s="1"/>
  <c r="G74" i="6" s="1"/>
  <c r="G8" i="28" s="1"/>
  <c r="F44" i="6"/>
  <c r="F80" i="6" s="1"/>
  <c r="F125" i="6" s="1"/>
  <c r="H44" i="6"/>
  <c r="H45" i="6" s="1"/>
  <c r="H62" i="6" s="1"/>
  <c r="H74" i="6" s="1"/>
  <c r="H8" i="28" s="1"/>
  <c r="C44" i="6"/>
  <c r="E56" i="6"/>
  <c r="E11" i="26" s="1"/>
  <c r="E10" i="26"/>
  <c r="H7" i="26"/>
  <c r="H64" i="6"/>
  <c r="H48" i="6"/>
  <c r="H63" i="6" s="1"/>
  <c r="D47" i="6"/>
  <c r="D5" i="26"/>
  <c r="C90" i="6"/>
  <c r="C99" i="6" s="1"/>
  <c r="C7" i="26"/>
  <c r="C93" i="6"/>
  <c r="C10" i="26"/>
  <c r="C56" i="6"/>
  <c r="E47" i="6"/>
  <c r="E6" i="26" s="1"/>
  <c r="E5" i="26"/>
  <c r="F10" i="26"/>
  <c r="F56" i="6"/>
  <c r="G64" i="6"/>
  <c r="G7" i="26"/>
  <c r="H5" i="26"/>
  <c r="H47" i="6"/>
  <c r="H6" i="26" s="1"/>
  <c r="C8" i="26"/>
  <c r="C54" i="6"/>
  <c r="C91" i="6"/>
  <c r="H8" i="26"/>
  <c r="H54" i="6"/>
  <c r="F49" i="6"/>
  <c r="F63" i="6"/>
  <c r="G56" i="6"/>
  <c r="G10" i="26"/>
  <c r="D56" i="6"/>
  <c r="D93" i="6"/>
  <c r="D10" i="26"/>
  <c r="F8" i="26"/>
  <c r="F54" i="6"/>
  <c r="G54" i="6"/>
  <c r="G8" i="26"/>
  <c r="C5" i="26"/>
  <c r="C47" i="6"/>
  <c r="D8" i="26"/>
  <c r="D54" i="6"/>
  <c r="D91" i="6"/>
  <c r="G63" i="6"/>
  <c r="G49" i="6"/>
  <c r="D7" i="26"/>
  <c r="D90" i="6"/>
  <c r="D99" i="6" s="1"/>
  <c r="D48" i="6"/>
  <c r="H56" i="6"/>
  <c r="F46" i="6"/>
  <c r="C48" i="6"/>
  <c r="E48" i="6"/>
  <c r="E84" i="6" s="1"/>
  <c r="E86" i="6" s="1"/>
  <c r="E98" i="6" s="1"/>
  <c r="F7" i="26"/>
  <c r="E54" i="6"/>
  <c r="G46" i="6"/>
  <c r="E94" i="6" l="1"/>
  <c r="F94" i="6"/>
  <c r="F86" i="6"/>
  <c r="F98" i="6" s="1"/>
  <c r="F108" i="6" s="1"/>
  <c r="F14" i="28" s="1"/>
  <c r="E82" i="6"/>
  <c r="F82" i="6"/>
  <c r="E92" i="6"/>
  <c r="E100" i="6" s="1"/>
  <c r="F92" i="6"/>
  <c r="F100" i="6" s="1"/>
  <c r="F106" i="6" s="1"/>
  <c r="F85" i="6"/>
  <c r="C82" i="6"/>
  <c r="F45" i="6"/>
  <c r="F81" i="6" s="1"/>
  <c r="F126" i="6" s="1"/>
  <c r="E80" i="6"/>
  <c r="E125" i="6" s="1"/>
  <c r="V49" i="21"/>
  <c r="M49" i="21"/>
  <c r="P49" i="21"/>
  <c r="Y49" i="21"/>
  <c r="G9" i="9" s="1"/>
  <c r="S49" i="21"/>
  <c r="D80" i="6"/>
  <c r="D125" i="6" s="1"/>
  <c r="D82" i="6"/>
  <c r="I54" i="6"/>
  <c r="C44" i="25" s="1"/>
  <c r="I46" i="6"/>
  <c r="I56" i="6"/>
  <c r="C45" i="25" s="1"/>
  <c r="C45" i="6"/>
  <c r="I44" i="6"/>
  <c r="I48" i="6"/>
  <c r="C80" i="6"/>
  <c r="C125" i="6" s="1"/>
  <c r="D45" i="6"/>
  <c r="D81" i="6" s="1"/>
  <c r="D126" i="6" s="1"/>
  <c r="D128" i="6" s="1"/>
  <c r="K79" i="21"/>
  <c r="J49" i="21" s="1"/>
  <c r="C7" i="7" a="1"/>
  <c r="H20" i="7" s="1"/>
  <c r="H49" i="6"/>
  <c r="E66" i="6"/>
  <c r="C94" i="6"/>
  <c r="C66" i="6"/>
  <c r="C11" i="26"/>
  <c r="E49" i="6"/>
  <c r="E85" i="6" s="1"/>
  <c r="E63" i="6"/>
  <c r="I10" i="26"/>
  <c r="D66" i="6"/>
  <c r="D11" i="26"/>
  <c r="D94" i="6"/>
  <c r="C65" i="6"/>
  <c r="C9" i="26"/>
  <c r="C92" i="6"/>
  <c r="C100" i="6" s="1"/>
  <c r="F66" i="6"/>
  <c r="F11" i="26"/>
  <c r="F5" i="26"/>
  <c r="F47" i="6"/>
  <c r="F83" i="6" s="1"/>
  <c r="H66" i="6"/>
  <c r="H11" i="26"/>
  <c r="G9" i="26"/>
  <c r="G65" i="6"/>
  <c r="I8" i="26"/>
  <c r="I7" i="26"/>
  <c r="C16" i="26" s="1"/>
  <c r="C84" i="6"/>
  <c r="C49" i="6"/>
  <c r="C8" i="7" a="1"/>
  <c r="C63" i="6"/>
  <c r="G11" i="26"/>
  <c r="G66" i="6"/>
  <c r="D9" i="26"/>
  <c r="D65" i="6"/>
  <c r="D92" i="6"/>
  <c r="D100" i="6" s="1"/>
  <c r="D84" i="6"/>
  <c r="D49" i="6"/>
  <c r="D63" i="6"/>
  <c r="F65" i="6"/>
  <c r="F9" i="26"/>
  <c r="G47" i="6"/>
  <c r="G6" i="26" s="1"/>
  <c r="G5" i="26"/>
  <c r="E65" i="6"/>
  <c r="E9" i="26"/>
  <c r="C6" i="26"/>
  <c r="H65" i="6"/>
  <c r="H9" i="26"/>
  <c r="D6" i="26"/>
  <c r="G22" i="7" l="1"/>
  <c r="H22" i="7"/>
  <c r="E71" i="6"/>
  <c r="E5" i="28" s="1"/>
  <c r="I5" i="28" s="1"/>
  <c r="G26" i="7"/>
  <c r="H26" i="7"/>
  <c r="F26" i="7"/>
  <c r="D26" i="7"/>
  <c r="E26" i="7"/>
  <c r="H72" i="6"/>
  <c r="H6" i="28" s="1"/>
  <c r="F128" i="6"/>
  <c r="F87" i="6" s="1"/>
  <c r="F101" i="6" s="1"/>
  <c r="F107" i="6" s="1"/>
  <c r="F132" i="6"/>
  <c r="F138" i="6" s="1"/>
  <c r="F130" i="6"/>
  <c r="F136" i="6" s="1"/>
  <c r="F127" i="6"/>
  <c r="F131" i="6"/>
  <c r="F137" i="6" s="1"/>
  <c r="F142" i="6" s="1"/>
  <c r="F12" i="28" s="1"/>
  <c r="F20" i="7"/>
  <c r="G20" i="7"/>
  <c r="C83" i="6"/>
  <c r="H19" i="7"/>
  <c r="E20" i="7"/>
  <c r="G23" i="7"/>
  <c r="D20" i="7"/>
  <c r="D85" i="6"/>
  <c r="F6" i="26"/>
  <c r="I6" i="26" s="1"/>
  <c r="E83" i="6"/>
  <c r="F62" i="6"/>
  <c r="F72" i="6" s="1"/>
  <c r="F6" i="28" s="1"/>
  <c r="E81" i="6"/>
  <c r="E126" i="6" s="1"/>
  <c r="E72" i="6"/>
  <c r="E6" i="28" s="1"/>
  <c r="C81" i="6"/>
  <c r="C126" i="6" s="1"/>
  <c r="C128" i="6" s="1"/>
  <c r="C87" i="6" s="1"/>
  <c r="C101" i="6" s="1"/>
  <c r="D83" i="6"/>
  <c r="E19" i="7"/>
  <c r="F19" i="7"/>
  <c r="G19" i="7"/>
  <c r="G72" i="6"/>
  <c r="G6" i="28" s="1"/>
  <c r="C62" i="6"/>
  <c r="C74" i="6" s="1"/>
  <c r="C8" i="28" s="1"/>
  <c r="I8" i="28" s="1"/>
  <c r="C21" i="28" s="1"/>
  <c r="E22" i="7"/>
  <c r="F22" i="7"/>
  <c r="C8" i="7"/>
  <c r="C22" i="7" s="1"/>
  <c r="D22" i="7"/>
  <c r="D86" i="6"/>
  <c r="D98" i="6" s="1"/>
  <c r="D87" i="6"/>
  <c r="D101" i="6" s="1"/>
  <c r="C86" i="6"/>
  <c r="D23" i="26"/>
  <c r="D6" i="15" s="1"/>
  <c r="C23" i="26"/>
  <c r="C6" i="15" s="1"/>
  <c r="I45" i="6"/>
  <c r="C41" i="25" s="1"/>
  <c r="I47" i="6"/>
  <c r="C42" i="25" s="1"/>
  <c r="I49" i="6"/>
  <c r="D62" i="6"/>
  <c r="B9" i="9"/>
  <c r="C7" i="7"/>
  <c r="I5" i="26"/>
  <c r="E73" i="6"/>
  <c r="E7" i="28" s="1"/>
  <c r="I9" i="26"/>
  <c r="C17" i="26" s="1"/>
  <c r="I11" i="26"/>
  <c r="C18" i="26" s="1"/>
  <c r="D127" i="6"/>
  <c r="D131" i="6"/>
  <c r="D137" i="6" s="1"/>
  <c r="D130" i="6"/>
  <c r="D136" i="6" s="1"/>
  <c r="D132" i="6"/>
  <c r="D138" i="6" s="1"/>
  <c r="D144" i="6" s="1"/>
  <c r="D14" i="28" s="1"/>
  <c r="C85" i="6"/>
  <c r="C28" i="28" l="1"/>
  <c r="D28" i="28"/>
  <c r="D16" i="15" s="1"/>
  <c r="D142" i="6"/>
  <c r="C20" i="7"/>
  <c r="I20" i="7" s="1"/>
  <c r="C31" i="7" s="1"/>
  <c r="C26" i="7"/>
  <c r="I26" i="7" s="1"/>
  <c r="C25" i="7"/>
  <c r="C24" i="7"/>
  <c r="C23" i="7"/>
  <c r="F143" i="6"/>
  <c r="F13" i="28" s="1"/>
  <c r="C130" i="6"/>
  <c r="C136" i="6" s="1"/>
  <c r="C142" i="6" s="1"/>
  <c r="C127" i="6"/>
  <c r="C131" i="6"/>
  <c r="C137" i="6" s="1"/>
  <c r="D106" i="6"/>
  <c r="C132" i="6"/>
  <c r="C138" i="6" s="1"/>
  <c r="E128" i="6"/>
  <c r="E87" i="6" s="1"/>
  <c r="E101" i="6" s="1"/>
  <c r="E132" i="6"/>
  <c r="E138" i="6" s="1"/>
  <c r="E131" i="6"/>
  <c r="E137" i="6" s="1"/>
  <c r="E127" i="6"/>
  <c r="E130" i="6"/>
  <c r="E136" i="6" s="1"/>
  <c r="C19" i="7"/>
  <c r="C73" i="6"/>
  <c r="C7" i="28" s="1"/>
  <c r="D72" i="6"/>
  <c r="D6" i="28" s="1"/>
  <c r="D73" i="6"/>
  <c r="D7" i="28" s="1"/>
  <c r="C72" i="6"/>
  <c r="C6" i="28" s="1"/>
  <c r="D107" i="6"/>
  <c r="I22" i="7"/>
  <c r="C33" i="7" s="1"/>
  <c r="C21" i="7"/>
  <c r="D25" i="26"/>
  <c r="D8" i="15" s="1"/>
  <c r="C25" i="26"/>
  <c r="C8" i="15" s="1"/>
  <c r="D24" i="26"/>
  <c r="D7" i="15" s="1"/>
  <c r="C24" i="26"/>
  <c r="C7" i="15" s="1"/>
  <c r="C98" i="6"/>
  <c r="C15" i="26"/>
  <c r="D143" i="6"/>
  <c r="C144" i="6" l="1"/>
  <c r="E144" i="6"/>
  <c r="E14" i="28" s="1"/>
  <c r="D12" i="28"/>
  <c r="C143" i="6"/>
  <c r="C108" i="6"/>
  <c r="C106" i="6"/>
  <c r="C12" i="28" s="1"/>
  <c r="E107" i="6"/>
  <c r="E106" i="6"/>
  <c r="E12" i="28" s="1"/>
  <c r="E143" i="6"/>
  <c r="I7" i="28"/>
  <c r="I6" i="28"/>
  <c r="D13" i="28"/>
  <c r="C107" i="6"/>
  <c r="D22" i="26"/>
  <c r="D5" i="15" s="1"/>
  <c r="D9" i="15" s="1"/>
  <c r="C18" i="25" s="1"/>
  <c r="C22" i="26"/>
  <c r="C5" i="15" s="1"/>
  <c r="C9" i="15" s="1"/>
  <c r="C26" i="25" s="1"/>
  <c r="C14" i="28" l="1"/>
  <c r="G14" i="28" s="1"/>
  <c r="C20" i="28" s="1"/>
  <c r="C13" i="28"/>
  <c r="E13" i="28"/>
  <c r="G12" i="28"/>
  <c r="C18" i="28" s="1"/>
  <c r="G13" i="28" l="1"/>
  <c r="C19" i="28" s="1"/>
  <c r="D26" i="28" s="1"/>
  <c r="D14" i="15" s="1"/>
  <c r="C27" i="28"/>
  <c r="C15" i="15" s="1"/>
  <c r="C16" i="15"/>
  <c r="D27" i="28"/>
  <c r="D15" i="15" s="1"/>
  <c r="D25" i="28"/>
  <c r="D13" i="15" s="1"/>
  <c r="C25" i="28"/>
  <c r="C13" i="15" s="1"/>
  <c r="C26" i="28" l="1"/>
  <c r="C14" i="15" s="1"/>
  <c r="C17" i="15" s="1"/>
  <c r="C28" i="25" s="1"/>
  <c r="D17" i="15"/>
  <c r="C20" i="25" s="1"/>
  <c r="D29" i="28"/>
  <c r="S78" i="19"/>
  <c r="T78" i="19" s="1"/>
  <c r="S74" i="19"/>
  <c r="T74" i="19" s="1"/>
  <c r="S73" i="19"/>
  <c r="T73" i="19" s="1"/>
  <c r="S75" i="19"/>
  <c r="T75" i="19" s="1"/>
  <c r="S76" i="19"/>
  <c r="T76" i="19" s="1"/>
  <c r="S77" i="19"/>
  <c r="T77" i="19" s="1"/>
  <c r="P87" i="22"/>
  <c r="Q87" i="22" s="1"/>
  <c r="P84" i="22"/>
  <c r="Q84" i="22" s="1"/>
  <c r="P85" i="22"/>
  <c r="Q85" i="22" s="1"/>
  <c r="P82" i="22"/>
  <c r="Q82" i="22" s="1"/>
  <c r="P86" i="22"/>
  <c r="Q86" i="22" s="1"/>
  <c r="P83" i="22"/>
  <c r="Q83" i="22" s="1"/>
  <c r="M95" i="20"/>
  <c r="N95" i="20" s="1"/>
  <c r="M93" i="20"/>
  <c r="N93" i="20" s="1"/>
  <c r="M91" i="20"/>
  <c r="N91" i="20" s="1"/>
  <c r="M94" i="20"/>
  <c r="N94" i="20" s="1"/>
  <c r="M92" i="20"/>
  <c r="N92" i="20" s="1"/>
  <c r="M90" i="20"/>
  <c r="N90" i="20" s="1"/>
  <c r="P49" i="22" l="1"/>
  <c r="D9" i="9" s="1"/>
  <c r="C29" i="28"/>
  <c r="M49" i="20"/>
  <c r="C9" i="9" s="1"/>
  <c r="S49" i="19"/>
  <c r="E9" i="9" s="1"/>
  <c r="V95" i="23" l="1"/>
  <c r="W95" i="23" s="1"/>
  <c r="V93" i="23"/>
  <c r="V90" i="23"/>
  <c r="W90" i="23" s="1"/>
  <c r="V91" i="23"/>
  <c r="W91" i="23" s="1"/>
  <c r="V92" i="23"/>
  <c r="V94" i="23"/>
  <c r="W94" i="23" s="1"/>
  <c r="W92" i="23" l="1"/>
  <c r="W93" i="23"/>
  <c r="V49" i="23" l="1"/>
  <c r="F9" i="9" s="1"/>
  <c r="H9" i="9" s="1"/>
  <c r="C13" i="25" s="1"/>
  <c r="C14" i="25" s="1"/>
  <c r="D14" i="25" l="1"/>
  <c r="D11" i="25"/>
  <c r="D12" i="25"/>
  <c r="D9" i="25"/>
  <c r="D10" i="25"/>
  <c r="D13" i="25"/>
  <c r="C34" i="25"/>
  <c r="H23" i="7" l="1"/>
  <c r="E23" i="7"/>
  <c r="F23" i="7"/>
  <c r="F21" i="7"/>
  <c r="D24" i="7"/>
  <c r="G24" i="7"/>
  <c r="D25" i="7"/>
  <c r="H21" i="7"/>
  <c r="F24" i="7"/>
  <c r="E21" i="7"/>
  <c r="H25" i="7"/>
  <c r="H24" i="7"/>
  <c r="G21" i="7"/>
  <c r="E24" i="7"/>
  <c r="D21" i="7"/>
  <c r="G25" i="7"/>
  <c r="E25" i="7"/>
  <c r="D19" i="7"/>
  <c r="I19" i="7" s="1"/>
  <c r="C30" i="7" s="1"/>
  <c r="F25" i="7"/>
  <c r="D23" i="7"/>
  <c r="I21" i="7" l="1"/>
  <c r="C32" i="7" s="1"/>
  <c r="I23" i="7"/>
  <c r="I25" i="7"/>
  <c r="I24" i="7"/>
  <c r="D38" i="7"/>
  <c r="D21" i="15" s="1"/>
  <c r="C38" i="7"/>
  <c r="C21" i="15" s="1"/>
  <c r="C39" i="7" l="1"/>
  <c r="C22" i="15" s="1"/>
  <c r="D39" i="7"/>
  <c r="D22" i="15" s="1"/>
  <c r="C34" i="7"/>
  <c r="D40" i="7" l="1"/>
  <c r="D23" i="15" s="1"/>
  <c r="D24" i="15" s="1"/>
  <c r="C19" i="25" s="1"/>
  <c r="C22" i="25" s="1"/>
  <c r="C40" i="7"/>
  <c r="C23" i="15" s="1"/>
  <c r="C24" i="15" s="1"/>
  <c r="D22" i="25" l="1"/>
  <c r="D21" i="25"/>
  <c r="D18" i="25"/>
  <c r="D20" i="25"/>
  <c r="D19" i="25"/>
  <c r="C27" i="25"/>
  <c r="C36" i="25" s="1"/>
  <c r="C30" i="25" l="1"/>
  <c r="D27" i="25" s="1"/>
  <c r="C37" i="25" l="1"/>
  <c r="D37" i="25" s="1"/>
  <c r="D30" i="25"/>
  <c r="D29" i="25"/>
  <c r="D26" i="25"/>
  <c r="D28" i="25"/>
  <c r="D34" i="25" l="1"/>
  <c r="D35" i="25"/>
  <c r="D36"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<sst xmlns="http://schemas.openxmlformats.org/spreadsheetml/2006/main" count="2950" uniqueCount="691">
  <si>
    <r>
      <t>Modell zur Beurteilung des optimalen Tunnelquerschnitts aus Sicht Kosten, Energieverbrauch und Klimawirkung (CO</t>
    </r>
    <r>
      <rPr>
        <b/>
        <vertAlign val="subscript"/>
        <sz val="11"/>
        <color theme="0"/>
        <rFont val="Arial"/>
        <family val="2"/>
      </rPr>
      <t>2</t>
    </r>
    <r>
      <rPr>
        <b/>
        <sz val="11"/>
        <color theme="0"/>
        <rFont val="Arial"/>
        <family val="2"/>
      </rPr>
      <t>-Emissionen)</t>
    </r>
  </si>
  <si>
    <t>Version:</t>
  </si>
  <si>
    <t>16.09.2021 - erste weitgehend vollständige Version</t>
  </si>
  <si>
    <t>Hinweise zur Datenerfassung für die Anwendung des Modells:</t>
  </si>
  <si>
    <t>Allgemeines</t>
  </si>
  <si>
    <t>-</t>
  </si>
  <si>
    <t>Es sind 2 Tabellenblätter auszufüllen: Tunneldaten (Infrastruktur) und Betriebsdaten (Zugverkehr)</t>
  </si>
  <si>
    <t>Pflichtfeld</t>
  </si>
  <si>
    <t>Weisse Felder sind nicht auszufüllen (freie Felder bzw. Felder mit automatisch erscheinende Angaben in Abhängigkeit der Werte in anderen Feldern).</t>
  </si>
  <si>
    <t>Prozentangaben als ganze Zahl eingeben (d.h. z.B. 20 statt 20% oder 0.2).</t>
  </si>
  <si>
    <t>Tabellenblatt "Tunneldaten"</t>
  </si>
  <si>
    <t>Entsprechend der eingetragenen Zahl von Bauabschnitten (1-6) bzw. Angriffspunkte (1-4) sind die entsprechenden Spalten in den jeweiligen Tabellen vollständig auszufüllen.</t>
  </si>
  <si>
    <r>
      <t>Für wichtige Begriffe und Bezeichnungen, die einen Einfluss auf den Innendurchmesser bzw. die aerodynamisch freie Querschnittsfläche F</t>
    </r>
    <r>
      <rPr>
        <vertAlign val="subscript"/>
        <sz val="10"/>
        <color theme="1"/>
        <rFont val="Arial"/>
        <family val="2"/>
      </rPr>
      <t>ae</t>
    </r>
    <r>
      <rPr>
        <sz val="10"/>
        <color theme="1"/>
        <rFont val="Arial"/>
        <family val="2"/>
      </rPr>
      <t xml:space="preserve"> haben, vgl. nebenstehendes Bild.</t>
    </r>
  </si>
  <si>
    <t>Tabellenblatt "Betriebsdaten"</t>
  </si>
  <si>
    <t>von oben nach unten ausfüllen (wegen Abhängigkeiten)</t>
  </si>
  <si>
    <t>Bei Reisezügen ist die Länge über ein Auswahlfeld einzutragen (abhängig von Ein-/Zwei-/ allenfalls Dreifachtraktion und ggf. dem Einsatz 4- oder 6-teiligen Basiskompositionen)</t>
  </si>
  <si>
    <t>Bei Güterzügen ist die typische Länge vorgegeben (da in der Praxis sehr variabel). Aus aerodynamischen Gründen muss zudem einer von 2 möglichen Untertypen angegeben werden 
(mit jeweils sehr heterogener bzw. eher einheitlicher Wagen- bzw. Ladungshöhe)</t>
  </si>
  <si>
    <t>Derselbe Zugtyp kann mehrfach in unterschiedlichen Konfigurationen (Untertyp bei GZ, Länge bei Triebzügen) eingetragen werden</t>
  </si>
  <si>
    <t>Tunneldaten</t>
  </si>
  <si>
    <t>Tunnelsystem</t>
  </si>
  <si>
    <t>DS</t>
  </si>
  <si>
    <t>DS: Doppelspur-, ES: Einspurtunnel</t>
  </si>
  <si>
    <t>Anzahl Röhren</t>
  </si>
  <si>
    <t xml:space="preserve"> Pflichtfelder</t>
  </si>
  <si>
    <t>Gleisachsabstand (bei DS)</t>
  </si>
  <si>
    <t>mm</t>
  </si>
  <si>
    <t>geplante Nutzungsdauer</t>
  </si>
  <si>
    <t>Jahre</t>
  </si>
  <si>
    <t>Anpassung nur in begründeten Fällen!</t>
  </si>
  <si>
    <t xml:space="preserve"> Felder, für die Default-Wert verwendet
 werden können.</t>
  </si>
  <si>
    <t>Innendurchmesser</t>
  </si>
  <si>
    <t>geplanter Wert, wird mit dem Modell variiert / optimiert. Alle normativen Anforderungen sind einzuhalten.</t>
  </si>
  <si>
    <r>
      <t>h</t>
    </r>
    <r>
      <rPr>
        <vertAlign val="subscript"/>
        <sz val="10"/>
        <color theme="1"/>
        <rFont val="Arial"/>
        <family val="2"/>
      </rPr>
      <t>SOK</t>
    </r>
    <r>
      <rPr>
        <sz val="10"/>
        <color theme="1"/>
        <rFont val="Arial"/>
        <family val="2"/>
      </rPr>
      <t xml:space="preserve"> (Tunnelmitte bis SOK)</t>
    </r>
  </si>
  <si>
    <t>Minimum:</t>
  </si>
  <si>
    <t>Maximum:</t>
  </si>
  <si>
    <t>vgl. auch Hinweise in readme</t>
  </si>
  <si>
    <t xml:space="preserve"> Feld abhängig von der Vortriebsmethode</t>
  </si>
  <si>
    <t>Anzahl Bauabschnitte</t>
  </si>
  <si>
    <t>bezüglich Vortriebsmethode einheitlich</t>
  </si>
  <si>
    <r>
      <t>resultierendes F</t>
    </r>
    <r>
      <rPr>
        <vertAlign val="subscript"/>
        <sz val="9"/>
        <color theme="1"/>
        <rFont val="Arial"/>
        <family val="2"/>
      </rPr>
      <t>ae</t>
    </r>
  </si>
  <si>
    <r>
      <t>m</t>
    </r>
    <r>
      <rPr>
        <vertAlign val="superscript"/>
        <sz val="10"/>
        <color theme="1"/>
        <rFont val="Arial"/>
        <family val="2"/>
      </rPr>
      <t>2</t>
    </r>
  </si>
  <si>
    <t>Anzahl Angriffspunkte</t>
  </si>
  <si>
    <t>Punkte, von denen aus der Vortrieb erfolgt</t>
  </si>
  <si>
    <t>Tunnelbau</t>
  </si>
  <si>
    <t>Nr. Bauabschnitt (bezüglich Vortriebsmethode einheitlich)</t>
  </si>
  <si>
    <t>Defaultwerte Sicherungsaufwand / Ausbaukonzept</t>
  </si>
  <si>
    <t>A</t>
  </si>
  <si>
    <t>Leicht</t>
  </si>
  <si>
    <t>Mittel</t>
  </si>
  <si>
    <t>Hoch</t>
  </si>
  <si>
    <t>Tübbinge</t>
  </si>
  <si>
    <t>MUL</t>
  </si>
  <si>
    <t>Vortrieb von Angriffspunkt Nr.</t>
  </si>
  <si>
    <t>SK 1</t>
  </si>
  <si>
    <t>%</t>
  </si>
  <si>
    <t>Vortriebsmethode</t>
  </si>
  <si>
    <t>SM</t>
  </si>
  <si>
    <t>SK 2</t>
  </si>
  <si>
    <t xml:space="preserve"> - Schildvariante (bei SM)</t>
  </si>
  <si>
    <t>Hydro</t>
  </si>
  <si>
    <t>SK 3</t>
  </si>
  <si>
    <t>Länge Bauabschnitt</t>
  </si>
  <si>
    <t>m</t>
  </si>
  <si>
    <t>SK 4</t>
  </si>
  <si>
    <t>Sicherungsaufwand / Ausbaukonzept</t>
  </si>
  <si>
    <t>SK 5</t>
  </si>
  <si>
    <t>Sicherungsklassen</t>
  </si>
  <si>
    <t>SK T</t>
  </si>
  <si>
    <t xml:space="preserve"> - SK 1</t>
  </si>
  <si>
    <t xml:space="preserve">   Standardwerte: vgl. hier</t>
  </si>
  <si>
    <t xml:space="preserve"> - SK 2</t>
  </si>
  <si>
    <t xml:space="preserve">   optional (überschreibt Default-Werte)</t>
  </si>
  <si>
    <t xml:space="preserve"> - SK 3</t>
  </si>
  <si>
    <r>
      <t>F</t>
    </r>
    <r>
      <rPr>
        <vertAlign val="subscript"/>
        <sz val="10"/>
        <color theme="1"/>
        <rFont val="Arial"/>
        <family val="2"/>
      </rPr>
      <t>ae</t>
    </r>
    <r>
      <rPr>
        <sz val="10"/>
        <color theme="1"/>
        <rFont val="Arial"/>
        <family val="2"/>
      </rPr>
      <t>, A</t>
    </r>
    <r>
      <rPr>
        <vertAlign val="subscript"/>
        <sz val="10"/>
        <color theme="1"/>
        <rFont val="Arial"/>
        <family val="2"/>
      </rPr>
      <t>Bankett</t>
    </r>
    <r>
      <rPr>
        <sz val="10"/>
        <color theme="1"/>
        <rFont val="Arial"/>
        <family val="2"/>
      </rPr>
      <t xml:space="preserve"> und A</t>
    </r>
    <r>
      <rPr>
        <vertAlign val="subscript"/>
        <sz val="10"/>
        <color theme="1"/>
        <rFont val="Arial"/>
        <family val="2"/>
      </rPr>
      <t>Sohle</t>
    </r>
    <r>
      <rPr>
        <sz val="10"/>
        <color theme="1"/>
        <rFont val="Arial"/>
        <family val="2"/>
      </rPr>
      <t xml:space="preserve"> wird automatisch berechnet in Abhängigkeit von h</t>
    </r>
    <r>
      <rPr>
        <vertAlign val="subscript"/>
        <sz val="10"/>
        <color theme="1"/>
        <rFont val="Arial"/>
        <family val="2"/>
      </rPr>
      <t>SOK</t>
    </r>
    <r>
      <rPr>
        <sz val="10"/>
        <color theme="1"/>
        <rFont val="Arial"/>
        <family val="2"/>
      </rPr>
      <t xml:space="preserve"> und R</t>
    </r>
    <r>
      <rPr>
        <vertAlign val="subscript"/>
        <sz val="10"/>
        <color theme="1"/>
        <rFont val="Arial"/>
        <family val="2"/>
      </rPr>
      <t>innen</t>
    </r>
  </si>
  <si>
    <t xml:space="preserve"> - SK 4</t>
  </si>
  <si>
    <t xml:space="preserve"> - SK 5</t>
  </si>
  <si>
    <t xml:space="preserve"> - Summe SK 1 - 5</t>
  </si>
  <si>
    <t xml:space="preserve">   Summe der Anteil der 5 SK muss 100% entsprechen</t>
  </si>
  <si>
    <t>Ringspaltstärke</t>
  </si>
  <si>
    <t xml:space="preserve">   bei SM</t>
  </si>
  <si>
    <t>Ausbruchsicherungsstärke</t>
  </si>
  <si>
    <t xml:space="preserve">   bei TBM, MUL, MUF, SPV</t>
  </si>
  <si>
    <t>Tübbingstärke</t>
  </si>
  <si>
    <t xml:space="preserve">Tübbing Bewehrungsgehalt </t>
  </si>
  <si>
    <r>
      <t>kg/m</t>
    </r>
    <r>
      <rPr>
        <vertAlign val="superscript"/>
        <sz val="10"/>
        <color rgb="FF0070C0"/>
        <rFont val="Arial"/>
        <family val="2"/>
      </rPr>
      <t>3</t>
    </r>
  </si>
  <si>
    <t>Ausbaustärke Innenverkleidung</t>
  </si>
  <si>
    <t>Ausbruchsdurchmesser</t>
  </si>
  <si>
    <t xml:space="preserve">   Innendurchmesser + Ausbaustärken</t>
  </si>
  <si>
    <t>Abdichtungskonzept</t>
  </si>
  <si>
    <t>Vollabdichtung</t>
  </si>
  <si>
    <t>Mittlere Transportdistanz im Tunnel</t>
  </si>
  <si>
    <t>km</t>
  </si>
  <si>
    <t>Transporte</t>
  </si>
  <si>
    <t>Angriffspunkt Nr. (Punkte, von denen aus Ausbruch erfolgt)</t>
  </si>
  <si>
    <t>Transporte zur Baustelle / zum Portal</t>
  </si>
  <si>
    <t>Zement</t>
  </si>
  <si>
    <t xml:space="preserve"> - Transportdistanz</t>
  </si>
  <si>
    <t xml:space="preserve"> - Transportmittel</t>
  </si>
  <si>
    <t>Stahl</t>
  </si>
  <si>
    <t>Kunststoff / Abdichtungsfolie</t>
  </si>
  <si>
    <t>Kies</t>
  </si>
  <si>
    <t>Transporte im Tunnel</t>
  </si>
  <si>
    <t>Transportmittel - Baumaterialien</t>
  </si>
  <si>
    <t>Transportmittel - Ausbruchsmaterial</t>
  </si>
  <si>
    <t>Materialbewirtschaftung</t>
  </si>
  <si>
    <t>Wiederverwertung vor Ort</t>
  </si>
  <si>
    <t xml:space="preserve"> - Terrainveränderung / Auffüllungen</t>
  </si>
  <si>
    <t xml:space="preserve"> - Betonzuschlag</t>
  </si>
  <si>
    <t xml:space="preserve"> - Herstellung von Baustoffen</t>
  </si>
  <si>
    <t>Abtransport Überschussmaterial</t>
  </si>
  <si>
    <t xml:space="preserve"> - Aufschüttungen</t>
  </si>
  <si>
    <t xml:space="preserve"> - Deponie</t>
  </si>
  <si>
    <t>Summe</t>
  </si>
  <si>
    <t>Transporte Materialbewirtschaftung</t>
  </si>
  <si>
    <t>Herstellung von Baustoffen</t>
  </si>
  <si>
    <t>Aufschüttungen</t>
  </si>
  <si>
    <t>Deponie</t>
  </si>
  <si>
    <t>Betriebsdaten</t>
  </si>
  <si>
    <t>Im Tunnel verkehrende Zugtypen</t>
  </si>
  <si>
    <t>Zugtyp</t>
  </si>
  <si>
    <t>FV-Dosto</t>
  </si>
  <si>
    <t>CEX</t>
  </si>
  <si>
    <t>Bezeichnung SBB /
Unterteilung</t>
  </si>
  <si>
    <t>Typ</t>
  </si>
  <si>
    <t>Länge [m]</t>
  </si>
  <si>
    <t>Bemerkung</t>
  </si>
  <si>
    <t xml:space="preserve"> Untertyp (nur bei Güterzügen)</t>
  </si>
  <si>
    <t>Schiebewandwagen</t>
  </si>
  <si>
    <t>Zuglänge</t>
  </si>
  <si>
    <t>Giruno</t>
  </si>
  <si>
    <t>RABe 501</t>
  </si>
  <si>
    <t>Triebzug</t>
  </si>
  <si>
    <t>Länge in Einfachtraktion</t>
  </si>
  <si>
    <t>Link</t>
  </si>
  <si>
    <t>Richtung 1: mittlere Anzahl Züge/Tag</t>
  </si>
  <si>
    <t>RABe 502</t>
  </si>
  <si>
    <t>Richtung 2: mittlere Anzahl Züge/Tag</t>
  </si>
  <si>
    <t>KISS</t>
  </si>
  <si>
    <t>RABe 511</t>
  </si>
  <si>
    <t>Länge 4-teilig Einfachtraktion</t>
  </si>
  <si>
    <t>Länge 6-teilig Einfachtraktion</t>
  </si>
  <si>
    <t>Geschwindigkeitsprofil</t>
  </si>
  <si>
    <t>FLIRT</t>
  </si>
  <si>
    <t>RABe 521</t>
  </si>
  <si>
    <t>Distanz ab Portal in Richtung 1</t>
  </si>
  <si>
    <t>RABe 524</t>
  </si>
  <si>
    <t>(max.) Zuggeschwindigkeit</t>
  </si>
  <si>
    <t>km/h</t>
  </si>
  <si>
    <t>Standard-GZ</t>
  </si>
  <si>
    <t>Zugreihe A70</t>
  </si>
  <si>
    <t>lokbe-spannter Güterzug
(Re 482)</t>
  </si>
  <si>
    <t>bunt gemischt (WLV, UKV)</t>
  </si>
  <si>
    <t>Ganzzug (homogen)</t>
  </si>
  <si>
    <t>Distanz ab Portal in Richtung 2</t>
  </si>
  <si>
    <t>CEX (Cargo-Express)</t>
  </si>
  <si>
    <t>Zugreihe A90</t>
  </si>
  <si>
    <t>mit Containerwagen (KEP, Post)</t>
  </si>
  <si>
    <t>mit Schiebewandwagen</t>
  </si>
  <si>
    <t>WLV: Wagenladungsverkehr</t>
  </si>
  <si>
    <t>UKV: unbegleiteter kombinierte Verkehr</t>
  </si>
  <si>
    <t>Zusammenzug Ergebnisse</t>
  </si>
  <si>
    <r>
      <t>h</t>
    </r>
    <r>
      <rPr>
        <vertAlign val="subscript"/>
        <sz val="10"/>
        <color theme="1"/>
        <rFont val="Arial"/>
        <family val="2"/>
      </rPr>
      <t>SOK</t>
    </r>
  </si>
  <si>
    <t>Rohbaukosten, Anteil mit Abhängigkeit zum Radius:</t>
  </si>
  <si>
    <t>Vortrieb</t>
  </si>
  <si>
    <t>CHF</t>
  </si>
  <si>
    <t>Baustoffe</t>
  </si>
  <si>
    <t>Ausbruchsicherung</t>
  </si>
  <si>
    <t>Transport</t>
  </si>
  <si>
    <t>Abdichtung</t>
  </si>
  <si>
    <t>Bauprozesse</t>
  </si>
  <si>
    <t>Erstellen Innengewölbe</t>
  </si>
  <si>
    <t>Traktion</t>
  </si>
  <si>
    <t>total Baukosten, Anteil mit Abhängigkeit zum Radius (inkl. Energiekosten)</t>
  </si>
  <si>
    <t>Energieverbrauch:</t>
  </si>
  <si>
    <t>Herstellung Baustoffe</t>
  </si>
  <si>
    <t>kWh</t>
  </si>
  <si>
    <t>Transporte für Bau</t>
  </si>
  <si>
    <t>Traktion während Betriebsdauer</t>
  </si>
  <si>
    <t>ohne Diskontierung</t>
  </si>
  <si>
    <t>total Energieverbrauch</t>
  </si>
  <si>
    <r>
      <t>CO</t>
    </r>
    <r>
      <rPr>
        <vertAlign val="subscript"/>
        <sz val="10"/>
        <color theme="1"/>
        <rFont val="Arial"/>
        <family val="2"/>
      </rPr>
      <t>2</t>
    </r>
    <r>
      <rPr>
        <sz val="10"/>
        <color theme="1"/>
        <rFont val="Arial"/>
        <family val="2"/>
      </rPr>
      <t xml:space="preserve"> t eq</t>
    </r>
  </si>
  <si>
    <t>Bauprozesse (inkl. Ausbruch)</t>
  </si>
  <si>
    <t>Gesamtkosten bzw. Kostenbilanz:</t>
  </si>
  <si>
    <t>Rohbaukosten, Anteil mit Abhängigkeit zum Radius (inkl. Kosten Bauenergie)</t>
  </si>
  <si>
    <t>Kosten Traktionsenergie (diskontiert)</t>
  </si>
  <si>
    <t>mit Diskontierung</t>
  </si>
  <si>
    <r>
      <t>CO</t>
    </r>
    <r>
      <rPr>
        <vertAlign val="subscript"/>
        <sz val="10"/>
        <color theme="1"/>
        <rFont val="Arial"/>
        <family val="2"/>
      </rPr>
      <t>2</t>
    </r>
    <r>
      <rPr>
        <sz val="10"/>
        <color theme="1"/>
        <rFont val="Arial"/>
        <family val="2"/>
      </rPr>
      <t>-Emissionen aus Traktionsenergie mit Diskontierung, sonst ohne</t>
    </r>
  </si>
  <si>
    <t>Gesamtkosten</t>
  </si>
  <si>
    <t>Mengen eingesetzter Baumaterialien (für untersuchten Teil des Rohbaus):</t>
  </si>
  <si>
    <t>Ausbruchsmaterial</t>
  </si>
  <si>
    <t>t</t>
  </si>
  <si>
    <t>Beton</t>
  </si>
  <si>
    <t>Kunststoff</t>
  </si>
  <si>
    <t>Ergebnisvergleich</t>
  </si>
  <si>
    <t>Werte aus Tabellenblatt "Ergebnisse" hineinkopieren (nur Werte, nicht Formeln)</t>
  </si>
  <si>
    <t>Mengen an Baumaterialien:</t>
  </si>
  <si>
    <t>Hilfstabelle: Ermittlung diskontierter Kosten während Betriebsphase sowie lineare Erhöhung Strompreis während dieser</t>
  </si>
  <si>
    <t>Jahr</t>
  </si>
  <si>
    <t>im jeweiligen Jahr (Spalte A)</t>
  </si>
  <si>
    <t>aggregiert bis Jahr (Spalte A)</t>
  </si>
  <si>
    <t>Kosten Traktionsenergie
(nicht diskontiert)</t>
  </si>
  <si>
    <t>Kosten Traktionsenergie
(diskontiert)</t>
  </si>
  <si>
    <r>
      <t>Kosten CO</t>
    </r>
    <r>
      <rPr>
        <b/>
        <vertAlign val="subscript"/>
        <sz val="10"/>
        <color theme="1"/>
        <rFont val="Arial"/>
        <family val="2"/>
      </rPr>
      <t>2</t>
    </r>
    <r>
      <rPr>
        <b/>
        <sz val="10"/>
        <color theme="1"/>
        <rFont val="Arial"/>
        <family val="2"/>
      </rPr>
      <t>-Emissionen Traktion
(nicht diskontiert)</t>
    </r>
  </si>
  <si>
    <r>
      <t>Kosten CO</t>
    </r>
    <r>
      <rPr>
        <b/>
        <vertAlign val="subscript"/>
        <sz val="10"/>
        <color theme="1"/>
        <rFont val="Arial"/>
        <family val="2"/>
      </rPr>
      <t>2</t>
    </r>
    <r>
      <rPr>
        <b/>
        <sz val="10"/>
        <color theme="1"/>
        <rFont val="Arial"/>
        <family val="2"/>
      </rPr>
      <t>-Emissionen Traktion
(diskontiert)</t>
    </r>
  </si>
  <si>
    <t>kWh/J</t>
  </si>
  <si>
    <t>Dropdownlisten</t>
  </si>
  <si>
    <t>Abschnitte</t>
  </si>
  <si>
    <t>Angriffspunkte</t>
  </si>
  <si>
    <t>Sicherungskonzepte</t>
  </si>
  <si>
    <t>Transporttypen</t>
  </si>
  <si>
    <t>Schild</t>
  </si>
  <si>
    <t>Standard-GZ-Typ</t>
  </si>
  <si>
    <t>CEX-Typ</t>
  </si>
  <si>
    <r>
      <t>v</t>
    </r>
    <r>
      <rPr>
        <b/>
        <vertAlign val="subscript"/>
        <sz val="10"/>
        <color theme="1"/>
        <rFont val="Arial"/>
        <family val="2"/>
      </rPr>
      <t>max</t>
    </r>
  </si>
  <si>
    <t>ES</t>
  </si>
  <si>
    <t>Eins</t>
  </si>
  <si>
    <t>Zwei</t>
  </si>
  <si>
    <t>Drei</t>
  </si>
  <si>
    <t>Vier</t>
  </si>
  <si>
    <t>TBM</t>
  </si>
  <si>
    <t>SPV</t>
  </si>
  <si>
    <t>MUF</t>
  </si>
  <si>
    <t>Bahn</t>
  </si>
  <si>
    <t>Gleisbetrieb</t>
  </si>
  <si>
    <t>Mechanisch</t>
  </si>
  <si>
    <t>Containerwagen</t>
  </si>
  <si>
    <t>≤ 160</t>
  </si>
  <si>
    <t>Teilabdichtung</t>
  </si>
  <si>
    <t>Strasse</t>
  </si>
  <si>
    <t>Pneubetrieb</t>
  </si>
  <si>
    <t>Erddruck</t>
  </si>
  <si>
    <t>160 &lt; x &lt; 200</t>
  </si>
  <si>
    <t>Förderband</t>
  </si>
  <si>
    <t>≥ 200</t>
  </si>
  <si>
    <t>Hydraulisch</t>
  </si>
  <si>
    <t>Parameter</t>
  </si>
  <si>
    <t>Defaultwerte Tunneldaten</t>
  </si>
  <si>
    <t>Betriebsjahre</t>
  </si>
  <si>
    <t>in Listen</t>
  </si>
  <si>
    <t>kg/m3</t>
  </si>
  <si>
    <t>Transport - Baustoffe</t>
  </si>
  <si>
    <t>Zement - Transportdistanz</t>
  </si>
  <si>
    <t>Zement - Transportmittel</t>
  </si>
  <si>
    <t>Stahl - Transportdistanz</t>
  </si>
  <si>
    <t>Stahl - Transportmittel</t>
  </si>
  <si>
    <t>Kunststoff - Transportdistanz</t>
  </si>
  <si>
    <t>Kunststoff - Transportmittel</t>
  </si>
  <si>
    <t>Kies - Transportdistanz</t>
  </si>
  <si>
    <t>Kies - Transportmittel</t>
  </si>
  <si>
    <t>Tübbinge - Transportdistanz</t>
  </si>
  <si>
    <t>Tübbinge - Transportmittel</t>
  </si>
  <si>
    <t>Ausbruchsmaterial - Transportmittel</t>
  </si>
  <si>
    <t>Baumaterialien - Transportmittel</t>
  </si>
  <si>
    <t>Transporte - Materialbewirtschaftung</t>
  </si>
  <si>
    <t>Herstellung von Baust. - Transportdistanz</t>
  </si>
  <si>
    <t>Herstellung von Baust. - Transportmittel</t>
  </si>
  <si>
    <t>Aufschüttung - Transportdistanz</t>
  </si>
  <si>
    <t>Aufschüttung - Transportmittel</t>
  </si>
  <si>
    <t>Deponie - Transportdistanz</t>
  </si>
  <si>
    <t>Deponie - Transportmittel</t>
  </si>
  <si>
    <t>Bau</t>
  </si>
  <si>
    <t>Allgemein</t>
  </si>
  <si>
    <t>Stahlbetondichte</t>
  </si>
  <si>
    <t>t/m3</t>
  </si>
  <si>
    <t>Betondichte</t>
  </si>
  <si>
    <t>Kiesdichte</t>
  </si>
  <si>
    <t>Kunststofffoliendichte</t>
  </si>
  <si>
    <t>t/m2</t>
  </si>
  <si>
    <t>aus Dissertation Sauer</t>
  </si>
  <si>
    <t>Ausbruchsmaterialdichte</t>
  </si>
  <si>
    <t>Stahlanker, 4m</t>
  </si>
  <si>
    <t>t/Stk</t>
  </si>
  <si>
    <t>Annahme: L=4m, Durchmesser=25mm</t>
  </si>
  <si>
    <t>Stahlanker, 6m</t>
  </si>
  <si>
    <t>Annahme: L=6m, Durchmesser=25mm</t>
  </si>
  <si>
    <t>Stahlanker, 8m</t>
  </si>
  <si>
    <t>Annahme: L=8m, Durchmesser=25mm</t>
  </si>
  <si>
    <t>Bewehrungsmatte, Typ K188</t>
  </si>
  <si>
    <t>Bewehrungsmatte, Typ K355</t>
  </si>
  <si>
    <t>Zement in Beton</t>
  </si>
  <si>
    <t>Zuschlagstoffe in Beton</t>
  </si>
  <si>
    <t>Abdeckung des Gesamtumfangs der Teilabdichtung</t>
  </si>
  <si>
    <t>Anteil gebundenes Material in Sohle (Beton)</t>
  </si>
  <si>
    <t>Bewehrungsgehalt Bankett</t>
  </si>
  <si>
    <t>Hinterfüllung Ringspalt Mörtel (Sohlbereich), Mechanisch</t>
  </si>
  <si>
    <t>°</t>
  </si>
  <si>
    <t>Hinterfüllung Ringspalt Mörtel (Sohlbereich), Hydro- und EPB-Schild</t>
  </si>
  <si>
    <t>Ausbruchssicherung Bewehrungsgehalt</t>
  </si>
  <si>
    <t>Stahlträger</t>
  </si>
  <si>
    <t>t/Umfang/m'</t>
  </si>
  <si>
    <t>alle 1.5m ein TH25 für 65% des Umfanges</t>
  </si>
  <si>
    <t>Bewehrung, SK 1</t>
  </si>
  <si>
    <t>m2/m'</t>
  </si>
  <si>
    <t>Annahme: einlagig K188 für 70% des Umfanges</t>
  </si>
  <si>
    <t>Bewehrung, SK 2</t>
  </si>
  <si>
    <t>Annahme: zweilagig K188 für 70% des Umfanges</t>
  </si>
  <si>
    <t>Bewehrung, SK 3</t>
  </si>
  <si>
    <t>Annahme: zweilagig K355 für 80% des Umfanges</t>
  </si>
  <si>
    <t>Bewehrung, SK 4</t>
  </si>
  <si>
    <t>Annahme: zweilagig K355</t>
  </si>
  <si>
    <t>Bewehrung, SK 5</t>
  </si>
  <si>
    <t>Stahlträger, SK 4</t>
  </si>
  <si>
    <t>Annahme: TH25 alle 2m für 65% des Umfanges</t>
  </si>
  <si>
    <t>Stahlträger, SK 5</t>
  </si>
  <si>
    <t>Annahme: TH25 alle 1.5m für 65% des Umfanges</t>
  </si>
  <si>
    <t>Anker, SK 2</t>
  </si>
  <si>
    <t>Stk/Umfang/m'</t>
  </si>
  <si>
    <t>Annahme: Anker alle 2m' und pro 4m Umfang in oberen 50%</t>
  </si>
  <si>
    <t>Anker, SK 3</t>
  </si>
  <si>
    <t>Annahme: Anker alle 1.5m' und pro 4m Umfang in oberen 50%</t>
  </si>
  <si>
    <t>Anker, SK 4</t>
  </si>
  <si>
    <t>Annahme: Anker alle 1.2m' und pro 4m Umfang in oberen 50%</t>
  </si>
  <si>
    <t>Anker, SK 5</t>
  </si>
  <si>
    <t>Annahme: Anker alle 1m' und pro 4m Umfang in oberen 50%</t>
  </si>
  <si>
    <t>Annahme: 4-Gurt-Gitterträger alle 1.5m für 65% des Umfanges</t>
  </si>
  <si>
    <t>Annahme: HEB160 alle 1m für 85% des Umfanges</t>
  </si>
  <si>
    <t>Stahlprofil, SK 4</t>
  </si>
  <si>
    <t>Annahme: TH36 alle 1.2m für 65% des Umfanges</t>
  </si>
  <si>
    <t>Stahlprofil, SK 5</t>
  </si>
  <si>
    <t>Annahme: TH44 alle 1m für 85% des Umfanges</t>
  </si>
  <si>
    <t>Einheitspreise</t>
  </si>
  <si>
    <t>TBM und SPV: Ausbruchsicherung, Anker, SK 2</t>
  </si>
  <si>
    <t>TBM und SPV: Ausbruchsicherung, Anker, SK 3</t>
  </si>
  <si>
    <t>TBM und SPV: Ausbruchsicherung, Anker, SK 4</t>
  </si>
  <si>
    <t>TBM und SPV: Ausbruchsicherung, Anker, SK 5</t>
  </si>
  <si>
    <t>TBM, SPV und MUF: Ausbruchsicherung, Bewehrung, SK 1</t>
  </si>
  <si>
    <t>TBM, SPV und MUF: Ausbruchsicherung, Bewehrung, SK 2</t>
  </si>
  <si>
    <t>TBM, SPV und MUF: Ausbruchsicherung, Bewehrung, SK 3</t>
  </si>
  <si>
    <t>TBM, SPV und MUF: Ausbruchsicherung, Bewehrung, SK 4</t>
  </si>
  <si>
    <t>TBM, SPV und MUF: Ausbruchsicherung, Bewehrung, SK 5</t>
  </si>
  <si>
    <t>TBM, SPV, MUF und MUL: Ausbruchsicherung, Stahleinbau</t>
  </si>
  <si>
    <t>alle: Abdichtung</t>
  </si>
  <si>
    <t>alle: Innengewölbe, Beton</t>
  </si>
  <si>
    <t>alle: Innengewölbe, Sohle Beton</t>
  </si>
  <si>
    <t>alle: Innengewölbe, Sohle, Kies</t>
  </si>
  <si>
    <t>alle: Innengewölbe, Bankett Bewehrung</t>
  </si>
  <si>
    <t>alle: Materialbewirtschaftung, lokal - Aufschüttung</t>
  </si>
  <si>
    <t>alle: Materialbewirtschaftung, lokal - Betonzuschlag</t>
  </si>
  <si>
    <t>alle: Materialbewirtschaftung, lokal - Herstellung von Baustoffen</t>
  </si>
  <si>
    <t>alle: Materialbewirtschaftung, extern - Herstellung von Baustoffen</t>
  </si>
  <si>
    <t>alle: Materialbewirtschaftung, extern - Aufschüttung</t>
  </si>
  <si>
    <t>alle: Materialbewirtschaftung, extern - Deponie</t>
  </si>
  <si>
    <t>Energie</t>
  </si>
  <si>
    <t>Einheit Simapro</t>
  </si>
  <si>
    <t>MJ kEA</t>
  </si>
  <si>
    <t>kWh KEA</t>
  </si>
  <si>
    <t>m3</t>
  </si>
  <si>
    <t>Kunststoff PVC</t>
  </si>
  <si>
    <t>kg</t>
  </si>
  <si>
    <t>Strom Bahn heute</t>
  </si>
  <si>
    <t>Strom Bahn Zukunft</t>
  </si>
  <si>
    <t>Bahntransport</t>
  </si>
  <si>
    <t>tkm</t>
  </si>
  <si>
    <t>LkW-Transport</t>
  </si>
  <si>
    <t>Explosivstoff</t>
  </si>
  <si>
    <t>Diesel</t>
  </si>
  <si>
    <t>l</t>
  </si>
  <si>
    <t>Materialtransport - Förderband</t>
  </si>
  <si>
    <t>kWh/tkm</t>
  </si>
  <si>
    <t>Materialtransport - Hydraulisch</t>
  </si>
  <si>
    <t>Vortrieb - MUL - Strom</t>
  </si>
  <si>
    <r>
      <t>kWh/m</t>
    </r>
    <r>
      <rPr>
        <vertAlign val="superscript"/>
        <sz val="10"/>
        <color theme="1"/>
        <rFont val="Arial"/>
        <family val="2"/>
      </rPr>
      <t>3</t>
    </r>
  </si>
  <si>
    <t>Vortrieb - MUL - Diesel</t>
  </si>
  <si>
    <r>
      <t>l/m</t>
    </r>
    <r>
      <rPr>
        <vertAlign val="superscript"/>
        <sz val="10"/>
        <color theme="1"/>
        <rFont val="Arial"/>
        <family val="2"/>
      </rPr>
      <t>3</t>
    </r>
  </si>
  <si>
    <t>Vortrieb - MUF - Strom</t>
  </si>
  <si>
    <t>Vortrieb - MUF - Diesel</t>
  </si>
  <si>
    <t>Vortrieb - TBM</t>
  </si>
  <si>
    <t>Annahme Fels: Molasse oder Kalk</t>
  </si>
  <si>
    <t>Vortrieb - SPV - Strom</t>
  </si>
  <si>
    <t>total</t>
  </si>
  <si>
    <t>Vortrieb - SPV - Diesel</t>
  </si>
  <si>
    <t>Vortrieb - SM - Mechanisch</t>
  </si>
  <si>
    <t>Vortrieb - SM - Erddruck</t>
  </si>
  <si>
    <t>Vortrieb - SM - Hydro</t>
  </si>
  <si>
    <t>Ausbruchsicherung/Innenverkleidung etc. Maschinell (TBM/SM) - Strom</t>
  </si>
  <si>
    <t>Ausbruchsicherung/Innenverkleidung etc. Konventionell - Strom</t>
  </si>
  <si>
    <t>Ausbruchsicherung/Innenverkleidung etc. Konventionell - Diesel</t>
  </si>
  <si>
    <t>Betonzuschlag</t>
  </si>
  <si>
    <t>Brechen und Waschen</t>
  </si>
  <si>
    <t>Brechen und Waschen, Produktion des Baustoffes fällt auf Folgenutzung</t>
  </si>
  <si>
    <t>Waschen</t>
  </si>
  <si>
    <t>Geometrische Abmessungen LRP</t>
  </si>
  <si>
    <r>
      <t>h</t>
    </r>
    <r>
      <rPr>
        <vertAlign val="subscript"/>
        <sz val="10"/>
        <rFont val="Arial"/>
        <family val="2"/>
      </rPr>
      <t>LRP</t>
    </r>
    <r>
      <rPr>
        <sz val="10"/>
        <rFont val="Arial"/>
        <family val="2"/>
      </rPr>
      <t xml:space="preserve"> (Lichtraumprofil)</t>
    </r>
  </si>
  <si>
    <r>
      <t>h</t>
    </r>
    <r>
      <rPr>
        <vertAlign val="subscript"/>
        <sz val="10"/>
        <rFont val="Arial"/>
        <family val="2"/>
      </rPr>
      <t>Bankett</t>
    </r>
  </si>
  <si>
    <r>
      <t>h</t>
    </r>
    <r>
      <rPr>
        <vertAlign val="subscript"/>
        <sz val="10"/>
        <rFont val="Arial"/>
        <family val="2"/>
      </rPr>
      <t>FBP</t>
    </r>
    <r>
      <rPr>
        <sz val="10"/>
        <rFont val="Arial"/>
        <family val="2"/>
      </rPr>
      <t xml:space="preserve"> (Fahrbahnplatte und Schienenraum)</t>
    </r>
  </si>
  <si>
    <r>
      <t>b</t>
    </r>
    <r>
      <rPr>
        <vertAlign val="subscript"/>
        <sz val="10"/>
        <rFont val="Arial"/>
        <family val="2"/>
      </rPr>
      <t>FBP</t>
    </r>
    <r>
      <rPr>
        <sz val="10"/>
        <rFont val="Arial"/>
        <family val="2"/>
      </rPr>
      <t xml:space="preserve"> (Fahrbahnplatte) / 2</t>
    </r>
  </si>
  <si>
    <r>
      <t>Berechnung Tunnelfaktor t</t>
    </r>
    <r>
      <rPr>
        <b/>
        <vertAlign val="subscript"/>
        <sz val="10"/>
        <color theme="1"/>
        <rFont val="Arial"/>
        <family val="2"/>
      </rPr>
      <t>F</t>
    </r>
    <r>
      <rPr>
        <b/>
        <sz val="10"/>
        <color theme="1"/>
        <rFont val="Arial"/>
        <family val="2"/>
      </rPr>
      <t xml:space="preserve"> (Tunnel-abhängige Grössen)</t>
    </r>
  </si>
  <si>
    <r>
      <t>Luftdruck p</t>
    </r>
    <r>
      <rPr>
        <b/>
        <vertAlign val="subscript"/>
        <sz val="10"/>
        <rFont val="Arial"/>
        <family val="2"/>
      </rPr>
      <t>0</t>
    </r>
    <r>
      <rPr>
        <sz val="10"/>
        <rFont val="Arial"/>
        <family val="2"/>
      </rPr>
      <t xml:space="preserve"> (hier bezogen auf 400 m.ü.M.)</t>
    </r>
  </si>
  <si>
    <t>Pa</t>
  </si>
  <si>
    <r>
      <t>Lufttemperatur T</t>
    </r>
    <r>
      <rPr>
        <b/>
        <vertAlign val="subscript"/>
        <sz val="10"/>
        <rFont val="Arial"/>
        <family val="2"/>
      </rPr>
      <t>0</t>
    </r>
  </si>
  <si>
    <t>°C</t>
  </si>
  <si>
    <r>
      <t xml:space="preserve">Reibungsbeiwert </t>
    </r>
    <r>
      <rPr>
        <sz val="10"/>
        <rFont val="Symbol"/>
        <family val="1"/>
        <charset val="2"/>
      </rPr>
      <t>l</t>
    </r>
    <r>
      <rPr>
        <vertAlign val="subscript"/>
        <sz val="10"/>
        <rFont val="Arial"/>
        <family val="2"/>
      </rPr>
      <t>tu</t>
    </r>
  </si>
  <si>
    <t>kein signifikanter Unterschied zwischen 2 ES- und DS-Tunnel</t>
  </si>
  <si>
    <t>am 13.8. mit Hr. Deeg / Hr. Balazs abgesprochen</t>
  </si>
  <si>
    <r>
      <t>Berechnung Tunnelfaktor t</t>
    </r>
    <r>
      <rPr>
        <b/>
        <vertAlign val="subscript"/>
        <sz val="10"/>
        <color theme="1"/>
        <rFont val="Arial"/>
        <family val="2"/>
      </rPr>
      <t>F</t>
    </r>
    <r>
      <rPr>
        <b/>
        <sz val="10"/>
        <color theme="1"/>
        <rFont val="Arial"/>
        <family val="2"/>
      </rPr>
      <t xml:space="preserve"> (Fahrzeug-abhängige Grössen)</t>
    </r>
  </si>
  <si>
    <t>Flirt</t>
  </si>
  <si>
    <r>
      <t>Zugquerschnittsfläche A</t>
    </r>
    <r>
      <rPr>
        <vertAlign val="subscript"/>
        <sz val="10"/>
        <rFont val="Arial"/>
        <family val="2"/>
      </rPr>
      <t>tr</t>
    </r>
  </si>
  <si>
    <t>m²</t>
  </si>
  <si>
    <t>mit DBS am 12.5. (Hr. W.-.) bzw. 13.8. (Hr. Deeg, Hr. Balazs) abgesprochen / bereinigt</t>
  </si>
  <si>
    <r>
      <t>Zugumfang U</t>
    </r>
    <r>
      <rPr>
        <vertAlign val="subscript"/>
        <sz val="10"/>
        <rFont val="Arial"/>
        <family val="2"/>
      </rPr>
      <t>tr</t>
    </r>
  </si>
  <si>
    <r>
      <t xml:space="preserve">Reibungsbeiwert Zug </t>
    </r>
    <r>
      <rPr>
        <sz val="10"/>
        <rFont val="Symbol"/>
        <family val="1"/>
        <charset val="2"/>
      </rPr>
      <t>l</t>
    </r>
    <r>
      <rPr>
        <vertAlign val="subscript"/>
        <sz val="10"/>
        <rFont val="Arial"/>
        <family val="2"/>
      </rPr>
      <t>tr</t>
    </r>
  </si>
  <si>
    <r>
      <t xml:space="preserve">Verlustbeiwert des Zugkopfes </t>
    </r>
    <r>
      <rPr>
        <sz val="10"/>
        <rFont val="Symbol"/>
        <family val="1"/>
        <charset val="2"/>
      </rPr>
      <t>x</t>
    </r>
    <r>
      <rPr>
        <vertAlign val="subscript"/>
        <sz val="10"/>
        <rFont val="Arial"/>
        <family val="2"/>
      </rPr>
      <t>k</t>
    </r>
  </si>
  <si>
    <t>Höchstgeschwindigkeit</t>
  </si>
  <si>
    <r>
      <t>Korrektur f</t>
    </r>
    <r>
      <rPr>
        <vertAlign val="subscript"/>
        <sz val="10"/>
        <rFont val="Arial"/>
        <family val="2"/>
      </rPr>
      <t>korr</t>
    </r>
    <r>
      <rPr>
        <sz val="10"/>
        <rFont val="Arial"/>
        <family val="2"/>
      </rPr>
      <t xml:space="preserve"> zu Tunnelfaktor t</t>
    </r>
    <r>
      <rPr>
        <vertAlign val="subscript"/>
        <sz val="10"/>
        <rFont val="Arial"/>
        <family val="2"/>
      </rPr>
      <t>F</t>
    </r>
    <r>
      <rPr>
        <sz val="10"/>
        <rFont val="Arial"/>
        <family val="2"/>
      </rPr>
      <t xml:space="preserve"> (Abweich. zu Modell DB Systemtechnik)</t>
    </r>
  </si>
  <si>
    <t>Gewicht Lok (Re 482, betrifft nur Güterzüge)</t>
  </si>
  <si>
    <t>Rollwiderstandsbeiwert Lok Re 482</t>
  </si>
  <si>
    <t>Rollwiderstandsbeiwert Güterwagen</t>
  </si>
  <si>
    <t>Luftwiderstandsbeiwert Lok Re 482</t>
  </si>
  <si>
    <r>
      <t>N h</t>
    </r>
    <r>
      <rPr>
        <vertAlign val="superscript"/>
        <sz val="10"/>
        <color theme="1"/>
        <rFont val="Arial"/>
        <family val="2"/>
      </rPr>
      <t>2</t>
    </r>
    <r>
      <rPr>
        <sz val="10"/>
        <color theme="1"/>
        <rFont val="Arial"/>
        <family val="2"/>
      </rPr>
      <t>/km</t>
    </r>
    <r>
      <rPr>
        <vertAlign val="superscript"/>
        <sz val="10"/>
        <color theme="1"/>
        <rFont val="Arial"/>
        <family val="2"/>
      </rPr>
      <t>2</t>
    </r>
  </si>
  <si>
    <t>Luftwiderstandsbeiwert Güterwagen</t>
  </si>
  <si>
    <t>Aerodynamischer Widerstandsbeiwert offene Strecke C</t>
  </si>
  <si>
    <t>Untertyp</t>
  </si>
  <si>
    <t>Anz. Loks
pro Zug</t>
  </si>
  <si>
    <t>Anz. Güter-
wagen p. Zug</t>
  </si>
  <si>
    <t>Gewicht pro Güterwagen [t]</t>
  </si>
  <si>
    <t>Zuggewicht [t]</t>
  </si>
  <si>
    <t>Rollwiderstands-
beiwert gesamter Zug</t>
  </si>
  <si>
    <t>C resultierend</t>
  </si>
  <si>
    <t>Bem.</t>
  </si>
  <si>
    <t>Beispiele für C von Hr. W.-R. (Gespräch 12.5.21)</t>
  </si>
  <si>
    <t>Güterzug</t>
  </si>
  <si>
    <t>450 m, gemischt</t>
  </si>
  <si>
    <t>davon Kopf vielleicht 1</t>
  </si>
  <si>
    <t>450 m, Schiebewandwagen</t>
  </si>
  <si>
    <t>IC-Lokzug</t>
  </si>
  <si>
    <t>310 m (10 Wagen)</t>
  </si>
  <si>
    <t>ICE 3</t>
  </si>
  <si>
    <t>5 Wagen</t>
  </si>
  <si>
    <t>HGV</t>
  </si>
  <si>
    <t>400 m</t>
  </si>
  <si>
    <t>Quelle: Bericht Fahrwiderstand LBS</t>
  </si>
  <si>
    <t>z.B. 17 volle Kesselwagen (ZANS) zu 90 t mit 3 Loks</t>
  </si>
  <si>
    <t>Quelle: Bericht Fahrwiderstand LBS, p. 24</t>
  </si>
  <si>
    <t>z.B. 38 2-achsige Schiebewandwagen (15.5 m Länge, Hbbinss) mit 15 t Leergewicht und 30 t Ladung</t>
  </si>
  <si>
    <t>z.B. 15 2-achsige Containertragwagen (Lgnss, 17.3 m Länge, 14 t Leergewicht, Ladung max. 31 t)</t>
  </si>
  <si>
    <t>Annahme: proportional umgerechnet von 600 m Ganzzug homogen</t>
  </si>
  <si>
    <t>Systemgrenze Pantograph, d.h. Übertragungsverluste bis Pantograph nicht berücksichtigt</t>
  </si>
  <si>
    <t>Bewertungsparameter</t>
  </si>
  <si>
    <t>Bahnstrompreis - Wert bei Inbetriebnahme Tunnel</t>
  </si>
  <si>
    <t>CHF/kWh</t>
  </si>
  <si>
    <t>Bahnstrompreis - konstante jährliche Zu- bzw. Abnahme</t>
  </si>
  <si>
    <t>Anteil erneuerbarer Strom während dem obigen Anteil der Betriebsdauer</t>
  </si>
  <si>
    <r>
      <t>CHF/CO</t>
    </r>
    <r>
      <rPr>
        <vertAlign val="subscript"/>
        <sz val="10"/>
        <color theme="1"/>
        <rFont val="Arial"/>
        <family val="2"/>
      </rPr>
      <t>2</t>
    </r>
    <r>
      <rPr>
        <sz val="10"/>
        <color theme="1"/>
        <rFont val="Arial"/>
        <family val="2"/>
      </rPr>
      <t xml:space="preserve"> t eq.</t>
    </r>
  </si>
  <si>
    <t>Bau - Geometrische Berechnungen</t>
  </si>
  <si>
    <t>SK</t>
  </si>
  <si>
    <t>Bauabschnitt</t>
  </si>
  <si>
    <t>SK 1 - Default</t>
  </si>
  <si>
    <t>SK 2 - Default</t>
  </si>
  <si>
    <t>SK 3 - Default</t>
  </si>
  <si>
    <t>SK 4 - Default</t>
  </si>
  <si>
    <t>SK 5 - Default</t>
  </si>
  <si>
    <t>SK 1 - User</t>
  </si>
  <si>
    <t>SK 2 - User</t>
  </si>
  <si>
    <t>SK 3 - User</t>
  </si>
  <si>
    <t>SK 4 - User</t>
  </si>
  <si>
    <t>SK 5 - User</t>
  </si>
  <si>
    <t>Querschnittsgrössen</t>
  </si>
  <si>
    <t>Länge</t>
  </si>
  <si>
    <t>Aussenquerschnitt</t>
  </si>
  <si>
    <t xml:space="preserve"> - Umfang</t>
  </si>
  <si>
    <t xml:space="preserve"> - Fläche</t>
  </si>
  <si>
    <r>
      <t>m</t>
    </r>
    <r>
      <rPr>
        <vertAlign val="superscript"/>
        <sz val="10"/>
        <rFont val="Arial"/>
        <family val="2"/>
      </rPr>
      <t>2</t>
    </r>
  </si>
  <si>
    <t xml:space="preserve"> - Durchmesser</t>
  </si>
  <si>
    <t>Tübbingbewehrungsgehalt</t>
  </si>
  <si>
    <r>
      <t>kg/m</t>
    </r>
    <r>
      <rPr>
        <vertAlign val="superscript"/>
        <sz val="10"/>
        <rFont val="Arial"/>
        <family val="2"/>
      </rPr>
      <t>3</t>
    </r>
  </si>
  <si>
    <r>
      <t>A</t>
    </r>
    <r>
      <rPr>
        <vertAlign val="subscript"/>
        <sz val="10"/>
        <rFont val="Arial"/>
        <family val="2"/>
      </rPr>
      <t>Sohle</t>
    </r>
  </si>
  <si>
    <r>
      <t>A</t>
    </r>
    <r>
      <rPr>
        <vertAlign val="subscript"/>
        <sz val="10"/>
        <rFont val="Arial"/>
        <family val="2"/>
      </rPr>
      <t>Bankett</t>
    </r>
  </si>
  <si>
    <r>
      <t>F</t>
    </r>
    <r>
      <rPr>
        <b/>
        <vertAlign val="subscript"/>
        <sz val="10"/>
        <rFont val="Arial"/>
        <family val="2"/>
      </rPr>
      <t>ae</t>
    </r>
    <r>
      <rPr>
        <b/>
        <sz val="10"/>
        <rFont val="Arial"/>
        <family val="2"/>
      </rPr>
      <t xml:space="preserve"> / Sohle</t>
    </r>
  </si>
  <si>
    <t>Gleisachsabstand</t>
  </si>
  <si>
    <r>
      <t>h</t>
    </r>
    <r>
      <rPr>
        <vertAlign val="subscript"/>
        <sz val="10"/>
        <rFont val="Arial"/>
        <family val="2"/>
      </rPr>
      <t>Bankett v</t>
    </r>
    <r>
      <rPr>
        <sz val="10"/>
        <rFont val="Arial"/>
        <family val="2"/>
      </rPr>
      <t xml:space="preserve"> (Segmenthöhe)</t>
    </r>
  </si>
  <si>
    <r>
      <t>s</t>
    </r>
    <r>
      <rPr>
        <vertAlign val="subscript"/>
        <sz val="10"/>
        <rFont val="Arial"/>
        <family val="2"/>
      </rPr>
      <t>Bankett v</t>
    </r>
    <r>
      <rPr>
        <sz val="10"/>
        <rFont val="Arial"/>
        <family val="2"/>
      </rPr>
      <t xml:space="preserve"> (Kreissehne)</t>
    </r>
  </si>
  <si>
    <r>
      <t>h</t>
    </r>
    <r>
      <rPr>
        <vertAlign val="subscript"/>
        <sz val="10"/>
        <rFont val="Arial"/>
        <family val="2"/>
      </rPr>
      <t>SOK max,1</t>
    </r>
    <r>
      <rPr>
        <sz val="10"/>
        <rFont val="Arial"/>
        <family val="2"/>
      </rPr>
      <t xml:space="preserve"> (RB Entwässerung)</t>
    </r>
  </si>
  <si>
    <r>
      <t>s</t>
    </r>
    <r>
      <rPr>
        <vertAlign val="subscript"/>
        <sz val="10"/>
        <rFont val="Arial"/>
        <family val="2"/>
      </rPr>
      <t>Bankett h min</t>
    </r>
    <r>
      <rPr>
        <sz val="10"/>
        <rFont val="Arial"/>
        <family val="2"/>
      </rPr>
      <t xml:space="preserve"> (Kreissehne)</t>
    </r>
  </si>
  <si>
    <r>
      <t>h</t>
    </r>
    <r>
      <rPr>
        <vertAlign val="subscript"/>
        <sz val="10"/>
        <rFont val="Arial"/>
        <family val="2"/>
      </rPr>
      <t>Bankett h min</t>
    </r>
    <r>
      <rPr>
        <sz val="10"/>
        <rFont val="Arial"/>
        <family val="2"/>
      </rPr>
      <t xml:space="preserve"> (Segmenthöhe)</t>
    </r>
  </si>
  <si>
    <r>
      <t>h</t>
    </r>
    <r>
      <rPr>
        <vertAlign val="subscript"/>
        <sz val="10"/>
        <rFont val="Arial"/>
        <family val="2"/>
      </rPr>
      <t>SOK max,2</t>
    </r>
    <r>
      <rPr>
        <sz val="10"/>
        <rFont val="Arial"/>
        <family val="2"/>
      </rPr>
      <t xml:space="preserve"> (RB Fluchtweg)</t>
    </r>
  </si>
  <si>
    <r>
      <t>h</t>
    </r>
    <r>
      <rPr>
        <vertAlign val="subscript"/>
        <sz val="10"/>
        <rFont val="Arial"/>
        <family val="2"/>
      </rPr>
      <t>SOK max</t>
    </r>
    <r>
      <rPr>
        <sz val="10"/>
        <rFont val="Arial"/>
        <family val="2"/>
      </rPr>
      <t xml:space="preserve"> (RB unten)</t>
    </r>
  </si>
  <si>
    <r>
      <t>h</t>
    </r>
    <r>
      <rPr>
        <vertAlign val="subscript"/>
        <sz val="10"/>
        <rFont val="Arial"/>
        <family val="2"/>
      </rPr>
      <t>SOK min</t>
    </r>
    <r>
      <rPr>
        <sz val="10"/>
        <rFont val="Arial"/>
        <family val="2"/>
      </rPr>
      <t xml:space="preserve"> (RB oben)</t>
    </r>
  </si>
  <si>
    <t>DS: Formel durch Interpolation von bekannten Werten. Unteres Limit begrenzt durch Minimalquerschnitt EBV4 / S3</t>
  </si>
  <si>
    <r>
      <t>h</t>
    </r>
    <r>
      <rPr>
        <vertAlign val="subscript"/>
        <sz val="10"/>
        <rFont val="Arial"/>
        <family val="2"/>
      </rPr>
      <t>Bankett h</t>
    </r>
    <r>
      <rPr>
        <sz val="10"/>
        <rFont val="Arial"/>
        <family val="2"/>
      </rPr>
      <t xml:space="preserve"> (Segmenthöhe)</t>
    </r>
  </si>
  <si>
    <r>
      <t>s</t>
    </r>
    <r>
      <rPr>
        <vertAlign val="subscript"/>
        <sz val="10"/>
        <rFont val="Arial"/>
        <family val="2"/>
      </rPr>
      <t>Bankett h</t>
    </r>
    <r>
      <rPr>
        <sz val="10"/>
        <rFont val="Arial"/>
        <family val="2"/>
      </rPr>
      <t xml:space="preserve"> (Kreissehne)</t>
    </r>
  </si>
  <si>
    <r>
      <t>b</t>
    </r>
    <r>
      <rPr>
        <vertAlign val="subscript"/>
        <sz val="10"/>
        <rFont val="Arial"/>
        <family val="2"/>
      </rPr>
      <t>Bankett h</t>
    </r>
    <r>
      <rPr>
        <sz val="10"/>
        <rFont val="Arial"/>
        <family val="2"/>
      </rPr>
      <t xml:space="preserve"> (Kreissehne)</t>
    </r>
  </si>
  <si>
    <r>
      <t>F</t>
    </r>
    <r>
      <rPr>
        <vertAlign val="subscript"/>
        <sz val="10"/>
        <rFont val="Arial"/>
        <family val="2"/>
      </rPr>
      <t>ae1</t>
    </r>
    <r>
      <rPr>
        <sz val="10"/>
        <rFont val="Arial"/>
        <family val="2"/>
      </rPr>
      <t xml:space="preserve"> (oberhalb Bankett)</t>
    </r>
  </si>
  <si>
    <r>
      <t>mm</t>
    </r>
    <r>
      <rPr>
        <vertAlign val="superscript"/>
        <sz val="10"/>
        <rFont val="Arial"/>
        <family val="2"/>
      </rPr>
      <t>2</t>
    </r>
  </si>
  <si>
    <r>
      <t>F</t>
    </r>
    <r>
      <rPr>
        <vertAlign val="subscript"/>
        <sz val="10"/>
        <rFont val="Arial"/>
        <family val="2"/>
      </rPr>
      <t>ae2</t>
    </r>
  </si>
  <si>
    <r>
      <t>15 mm breiter als b</t>
    </r>
    <r>
      <rPr>
        <vertAlign val="subscript"/>
        <sz val="10"/>
        <color theme="1"/>
        <rFont val="Arial"/>
        <family val="2"/>
      </rPr>
      <t>FBP</t>
    </r>
  </si>
  <si>
    <r>
      <t>F</t>
    </r>
    <r>
      <rPr>
        <vertAlign val="subscript"/>
        <sz val="10"/>
        <rFont val="Arial"/>
        <family val="2"/>
      </rPr>
      <t>ae</t>
    </r>
  </si>
  <si>
    <t>-&gt;</t>
  </si>
  <si>
    <r>
      <t>m</t>
    </r>
    <r>
      <rPr>
        <vertAlign val="superscript"/>
        <sz val="10"/>
        <color rgb="FF0070C0"/>
        <rFont val="Arial"/>
        <family val="2"/>
      </rPr>
      <t>2</t>
    </r>
  </si>
  <si>
    <r>
      <t xml:space="preserve"> Tunnelquerschnittsfläche A</t>
    </r>
    <r>
      <rPr>
        <b/>
        <vertAlign val="subscript"/>
        <sz val="10"/>
        <color rgb="FF0070C0"/>
        <rFont val="Arial"/>
        <family val="2"/>
      </rPr>
      <t>tu</t>
    </r>
  </si>
  <si>
    <r>
      <t>A</t>
    </r>
    <r>
      <rPr>
        <vertAlign val="subscript"/>
        <sz val="10"/>
        <rFont val="Arial"/>
        <family val="2"/>
      </rPr>
      <t>FBP</t>
    </r>
  </si>
  <si>
    <r>
      <t>A</t>
    </r>
    <r>
      <rPr>
        <vertAlign val="subscript"/>
        <sz val="10"/>
        <rFont val="Arial"/>
        <family val="2"/>
      </rPr>
      <t>Sohle &amp; Bankett</t>
    </r>
  </si>
  <si>
    <r>
      <t>h</t>
    </r>
    <r>
      <rPr>
        <vertAlign val="subscript"/>
        <sz val="10"/>
        <rFont val="Arial"/>
        <family val="2"/>
      </rPr>
      <t>UK, Bankett h</t>
    </r>
    <r>
      <rPr>
        <sz val="10"/>
        <rFont val="Arial"/>
        <family val="2"/>
      </rPr>
      <t xml:space="preserve"> (Segmenthöhe)</t>
    </r>
  </si>
  <si>
    <r>
      <t>s</t>
    </r>
    <r>
      <rPr>
        <vertAlign val="subscript"/>
        <sz val="10"/>
        <rFont val="Arial"/>
        <family val="2"/>
      </rPr>
      <t>UK, Bankett h</t>
    </r>
    <r>
      <rPr>
        <sz val="10"/>
        <rFont val="Arial"/>
        <family val="2"/>
      </rPr>
      <t xml:space="preserve"> (Kreissehne)</t>
    </r>
  </si>
  <si>
    <r>
      <t>b</t>
    </r>
    <r>
      <rPr>
        <vertAlign val="subscript"/>
        <sz val="10"/>
        <rFont val="Arial"/>
        <family val="2"/>
      </rPr>
      <t>UK, Bankett h</t>
    </r>
    <r>
      <rPr>
        <sz val="10"/>
        <rFont val="Arial"/>
        <family val="2"/>
      </rPr>
      <t xml:space="preserve"> (Kreisbogen)</t>
    </r>
  </si>
  <si>
    <t>Baukosten, Anteil mit Abhängigkeit zum Radius</t>
  </si>
  <si>
    <t>Bauabschnitt pro Röhre</t>
  </si>
  <si>
    <t>total Bau</t>
  </si>
  <si>
    <t>Innengewölbe</t>
  </si>
  <si>
    <t>B</t>
  </si>
  <si>
    <t>C</t>
  </si>
  <si>
    <t>D</t>
  </si>
  <si>
    <t>E</t>
  </si>
  <si>
    <t>F</t>
  </si>
  <si>
    <t>Schildvariante</t>
  </si>
  <si>
    <r>
      <t>m</t>
    </r>
    <r>
      <rPr>
        <vertAlign val="superscript"/>
        <sz val="10"/>
        <color theme="6"/>
        <rFont val="Arial"/>
        <family val="2"/>
      </rPr>
      <t>2</t>
    </r>
  </si>
  <si>
    <r>
      <t>kg/m</t>
    </r>
    <r>
      <rPr>
        <vertAlign val="superscript"/>
        <sz val="10"/>
        <color theme="6"/>
        <rFont val="Arial"/>
        <family val="2"/>
      </rPr>
      <t>3</t>
    </r>
  </si>
  <si>
    <r>
      <t>A</t>
    </r>
    <r>
      <rPr>
        <vertAlign val="subscript"/>
        <sz val="10"/>
        <color theme="1"/>
        <rFont val="Arial"/>
        <family val="2"/>
      </rPr>
      <t>Sohle</t>
    </r>
  </si>
  <si>
    <r>
      <t>A</t>
    </r>
    <r>
      <rPr>
        <vertAlign val="subscript"/>
        <sz val="10"/>
        <color theme="1"/>
        <rFont val="Arial"/>
        <family val="2"/>
      </rPr>
      <t>Bankett</t>
    </r>
  </si>
  <si>
    <t>lokal - Aufschüttung</t>
  </si>
  <si>
    <t>lokal - Betonzuschlag</t>
  </si>
  <si>
    <t>lokal - Herstellung von Baustoffen</t>
  </si>
  <si>
    <t>extern - Herstellung von Baustoffen</t>
  </si>
  <si>
    <t>extern - Aufschüttung</t>
  </si>
  <si>
    <t>extern - Deponie</t>
  </si>
  <si>
    <t>Kosten pro Röhre</t>
  </si>
  <si>
    <t>Material pro Röhre</t>
  </si>
  <si>
    <r>
      <t>m</t>
    </r>
    <r>
      <rPr>
        <vertAlign val="superscript"/>
        <sz val="10"/>
        <color theme="1"/>
        <rFont val="Arial"/>
        <family val="2"/>
      </rPr>
      <t>3</t>
    </r>
  </si>
  <si>
    <t xml:space="preserve"> - Beton (ohne Tübbinge)</t>
  </si>
  <si>
    <t xml:space="preserve"> - Beton (Tübbinge)</t>
  </si>
  <si>
    <r>
      <t>m</t>
    </r>
    <r>
      <rPr>
        <vertAlign val="superscript"/>
        <sz val="10"/>
        <color theme="6"/>
        <rFont val="Arial"/>
        <family val="2"/>
      </rPr>
      <t>3</t>
    </r>
  </si>
  <si>
    <t>Einheit</t>
  </si>
  <si>
    <t>Einheitspreis</t>
  </si>
  <si>
    <t>Material</t>
  </si>
  <si>
    <t>Material / Einheit</t>
  </si>
  <si>
    <t>Ausmass</t>
  </si>
  <si>
    <t>Preis</t>
  </si>
  <si>
    <r>
      <t>m</t>
    </r>
    <r>
      <rPr>
        <vertAlign val="superscript"/>
        <sz val="10"/>
        <rFont val="Arial"/>
        <family val="2"/>
      </rPr>
      <t>3</t>
    </r>
  </si>
  <si>
    <t>Anker</t>
  </si>
  <si>
    <t>Stk</t>
  </si>
  <si>
    <t>Bewehrung</t>
  </si>
  <si>
    <t>Stahleinbau</t>
  </si>
  <si>
    <t>Spritzbeton</t>
  </si>
  <si>
    <t>Sohle, Beton</t>
  </si>
  <si>
    <t>Sohle, Kies</t>
  </si>
  <si>
    <t>Bankett Bewehrung</t>
  </si>
  <si>
    <t>m2</t>
  </si>
  <si>
    <t>Hinterfüllung Mörtel (Beton)</t>
  </si>
  <si>
    <t>Hinterfüllung Kies</t>
  </si>
  <si>
    <t>Tübbing, Beton</t>
  </si>
  <si>
    <t>Tübbing, Bewehrung</t>
  </si>
  <si>
    <t>Berechnungstool zur Abschätzung mittlerer Tunnelfaktoren nach Prof. Helmut SOCKEL, TU Wien</t>
  </si>
  <si>
    <t>Zugparameter</t>
  </si>
  <si>
    <t>Symbol</t>
  </si>
  <si>
    <t>Geschwindigkeitsabschnitt 1 / Richtung 1</t>
  </si>
  <si>
    <t>Geschwindigkeitsabschnitt 2 / Richtung 1</t>
  </si>
  <si>
    <t>Geschwindigkeitsabschnitt 3 / Richtung 1</t>
  </si>
  <si>
    <t>Geschwindigkeitsabschnitt 4 / Richtung 1</t>
  </si>
  <si>
    <t>Geschwindigkeitsabschnitt 1 / Richtung 2</t>
  </si>
  <si>
    <t>Geschwindigkeitsabschnitt 2 / Richtung 2</t>
  </si>
  <si>
    <t>Geschwindigkeitsabschnitt 3 / Richtung 2</t>
  </si>
  <si>
    <t>Geschwindigkeitsabschnitt 4 / Richtung 2</t>
  </si>
  <si>
    <t>Untertyp (nur bei Güterzügen)</t>
  </si>
  <si>
    <r>
      <t>eff. Zuggeschwindigkeit (abhängig von Zugtyp und v</t>
    </r>
    <r>
      <rPr>
        <vertAlign val="subscript"/>
        <sz val="10"/>
        <rFont val="Arial"/>
        <family val="2"/>
      </rPr>
      <t>max</t>
    </r>
    <r>
      <rPr>
        <sz val="10"/>
        <rFont val="Arial"/>
        <family val="2"/>
      </rPr>
      <t xml:space="preserve"> Tunnel)</t>
    </r>
  </si>
  <si>
    <t>Zuglänge (abhängig von Zugtyp)</t>
  </si>
  <si>
    <t>Zugquerschnittsfläche</t>
  </si>
  <si>
    <t>Zugumfang</t>
  </si>
  <si>
    <t>Reibungsbeiwert Zug</t>
  </si>
  <si>
    <t>Aerodynamischer Widerstandsbeiwert auf freier Strecke</t>
  </si>
  <si>
    <t>N h²/km²</t>
  </si>
  <si>
    <t>Verlustbeiwert des Zugkopfes</t>
  </si>
  <si>
    <r>
      <t>x</t>
    </r>
    <r>
      <rPr>
        <vertAlign val="subscript"/>
        <sz val="10"/>
        <rFont val="Arial"/>
        <family val="2"/>
      </rPr>
      <t>k</t>
    </r>
  </si>
  <si>
    <r>
      <t>Mittlerer Tunnelfaktor t</t>
    </r>
    <r>
      <rPr>
        <vertAlign val="subscript"/>
        <sz val="10"/>
        <color theme="1"/>
        <rFont val="Arial"/>
        <family val="2"/>
      </rPr>
      <t>F</t>
    </r>
    <r>
      <rPr>
        <sz val="10"/>
        <color theme="1"/>
        <rFont val="Arial"/>
        <family val="2"/>
      </rPr>
      <t xml:space="preserve"> gemäss Model DB Systemtechnik</t>
    </r>
  </si>
  <si>
    <t>Korrekturfaktor zu tF (Abweichung Modell DB Systemtechnik)</t>
  </si>
  <si>
    <r>
      <t>f</t>
    </r>
    <r>
      <rPr>
        <vertAlign val="subscript"/>
        <sz val="10"/>
        <color theme="1"/>
        <rFont val="Arial"/>
        <family val="2"/>
      </rPr>
      <t>korr</t>
    </r>
  </si>
  <si>
    <t>Rollwiderstandskraft</t>
  </si>
  <si>
    <t>N</t>
  </si>
  <si>
    <t>Luftwiderstandskraft</t>
  </si>
  <si>
    <t>gesamte Laufwiderstandskraft</t>
  </si>
  <si>
    <t>Traktionsenergie pro Fahrt und Tunnelabschnitt</t>
  </si>
  <si>
    <t>Anzahl Züge</t>
  </si>
  <si>
    <t>/Tag/Richt.</t>
  </si>
  <si>
    <t>Traktionsenergie pro Jahr und Tunnelabschnitt</t>
  </si>
  <si>
    <t>Traktionsenergie pro Jahr für gesamten Tunnel</t>
  </si>
  <si>
    <t>Zwischenergebnisse Berechnung Tunnelfaktor tF</t>
  </si>
  <si>
    <r>
      <t>kg CO</t>
    </r>
    <r>
      <rPr>
        <b/>
        <vertAlign val="subscript"/>
        <sz val="10"/>
        <color theme="1"/>
        <rFont val="Arial"/>
        <family val="2"/>
      </rPr>
      <t>2</t>
    </r>
    <r>
      <rPr>
        <b/>
        <sz val="10"/>
        <color theme="1"/>
        <rFont val="Arial"/>
        <family val="2"/>
      </rPr>
      <t>eq</t>
    </r>
  </si>
  <si>
    <t>Total</t>
  </si>
  <si>
    <t>Rohbau</t>
  </si>
  <si>
    <t>Energie - Baustoffe</t>
  </si>
  <si>
    <t>Baustoffe pro Röhre</t>
  </si>
  <si>
    <t>total pro Röhre</t>
  </si>
  <si>
    <t>Energie - Bauprozesse</t>
  </si>
  <si>
    <t>Bauprozesse pro Röhre</t>
  </si>
  <si>
    <t>Schildvariante (bei SM)</t>
  </si>
  <si>
    <t>Beton (ohne Tübbinge)</t>
  </si>
  <si>
    <t>Bauenergie pro Röhre</t>
  </si>
  <si>
    <t>Vortrieb - Strom</t>
  </si>
  <si>
    <t>Vortrieb - Diesel</t>
  </si>
  <si>
    <t>Rohbau - Strom</t>
  </si>
  <si>
    <t>Rohbau - Diesel</t>
  </si>
  <si>
    <t>Aufschüttung</t>
  </si>
  <si>
    <t>Materialbewirtschaftung - Strom</t>
  </si>
  <si>
    <t>Energie - Transport</t>
  </si>
  <si>
    <t>Transportmittel - Tunnel pro Röhre</t>
  </si>
  <si>
    <t>Transportmittel - ab/nach Baustelle pro Röhre</t>
  </si>
  <si>
    <t>Transportmittel</t>
  </si>
  <si>
    <t>Energie - Transportmittel</t>
  </si>
  <si>
    <t>Transporte zur Baustelle</t>
  </si>
  <si>
    <t>Transport im Tunnel pro Röhre</t>
  </si>
  <si>
    <t>Material pro Bauabschnitt pro Röhre</t>
  </si>
  <si>
    <t xml:space="preserve">total </t>
  </si>
  <si>
    <t>Abschnittslänge</t>
  </si>
  <si>
    <t>mittlere Transportdistanz Tunnel</t>
  </si>
  <si>
    <t>Material Transport - Tunnel pro Röhre</t>
  </si>
  <si>
    <t>Material pro Angriffspunkt pro Röhre</t>
  </si>
  <si>
    <t>Beton Zuschlagstoffe (Kies)</t>
  </si>
  <si>
    <t>Transport Materialbewirtschaftung pro Röhre</t>
  </si>
  <si>
    <t>Verwertung vor Ort</t>
  </si>
  <si>
    <t>Verwertung vor Ort - total</t>
  </si>
  <si>
    <t xml:space="preserve"> - Zuschlagstoffe</t>
  </si>
  <si>
    <t>Material Transport - Materialbewirtschaftung pro Röhre</t>
  </si>
  <si>
    <t>Transportmittel - Materialbewirtschaftung pro Röhre</t>
  </si>
  <si>
    <r>
      <t>f</t>
    </r>
    <r>
      <rPr>
        <vertAlign val="subscript"/>
        <sz val="10"/>
        <color theme="1"/>
        <rFont val="Arial"/>
        <family val="2"/>
      </rPr>
      <t>T</t>
    </r>
  </si>
  <si>
    <r>
      <t>v</t>
    </r>
    <r>
      <rPr>
        <vertAlign val="subscript"/>
        <sz val="10"/>
        <rFont val="Arial"/>
        <family val="2"/>
      </rPr>
      <t>Z</t>
    </r>
  </si>
  <si>
    <r>
      <t>L</t>
    </r>
    <r>
      <rPr>
        <vertAlign val="subscript"/>
        <sz val="10"/>
        <rFont val="Arial"/>
        <family val="2"/>
      </rPr>
      <t>Z</t>
    </r>
  </si>
  <si>
    <r>
      <t>A</t>
    </r>
    <r>
      <rPr>
        <vertAlign val="subscript"/>
        <sz val="10"/>
        <rFont val="Arial"/>
        <family val="2"/>
      </rPr>
      <t>Z</t>
    </r>
  </si>
  <si>
    <r>
      <t>U</t>
    </r>
    <r>
      <rPr>
        <vertAlign val="subscript"/>
        <sz val="10"/>
        <rFont val="Arial"/>
        <family val="2"/>
      </rPr>
      <t>Z</t>
    </r>
  </si>
  <si>
    <r>
      <t>l</t>
    </r>
    <r>
      <rPr>
        <vertAlign val="subscript"/>
        <sz val="10"/>
        <rFont val="Arial"/>
        <family val="2"/>
      </rPr>
      <t>Z</t>
    </r>
  </si>
  <si>
    <r>
      <t>A + R</t>
    </r>
    <r>
      <rPr>
        <vertAlign val="subscript"/>
        <sz val="10"/>
        <color theme="1"/>
        <rFont val="Arial"/>
        <family val="2"/>
      </rPr>
      <t>T</t>
    </r>
  </si>
  <si>
    <r>
      <t>(A + R</t>
    </r>
    <r>
      <rPr>
        <vertAlign val="subscript"/>
        <sz val="10"/>
        <color theme="1"/>
        <rFont val="Arial"/>
        <family val="2"/>
      </rPr>
      <t>T</t>
    </r>
    <r>
      <rPr>
        <sz val="10"/>
        <color theme="1"/>
        <rFont val="Arial"/>
        <family val="2"/>
      </rPr>
      <t>) l</t>
    </r>
    <r>
      <rPr>
        <vertAlign val="subscript"/>
        <sz val="10"/>
        <color theme="1"/>
        <rFont val="Arial"/>
        <family val="2"/>
      </rPr>
      <t>Abschnitt</t>
    </r>
  </si>
  <si>
    <r>
      <t>R</t>
    </r>
    <r>
      <rPr>
        <vertAlign val="subscript"/>
        <sz val="10"/>
        <color theme="1"/>
        <rFont val="Arial"/>
        <family val="2"/>
      </rPr>
      <t>T</t>
    </r>
    <r>
      <rPr>
        <sz val="10"/>
        <color theme="1"/>
        <rFont val="Arial"/>
        <family val="2"/>
      </rPr>
      <t xml:space="preserve"> = C f</t>
    </r>
    <r>
      <rPr>
        <vertAlign val="subscript"/>
        <sz val="10"/>
        <color theme="1"/>
        <rFont val="Arial"/>
        <family val="2"/>
      </rPr>
      <t>T</t>
    </r>
    <r>
      <rPr>
        <sz val="10"/>
        <color theme="1"/>
        <rFont val="Arial"/>
        <family val="2"/>
      </rPr>
      <t xml:space="preserve"> f</t>
    </r>
    <r>
      <rPr>
        <vertAlign val="subscript"/>
        <sz val="10"/>
        <color theme="1"/>
        <rFont val="Arial"/>
        <family val="2"/>
      </rPr>
      <t>korr</t>
    </r>
    <r>
      <rPr>
        <sz val="10"/>
        <color theme="1"/>
        <rFont val="Arial"/>
        <family val="2"/>
      </rPr>
      <t xml:space="preserve"> v</t>
    </r>
    <r>
      <rPr>
        <vertAlign val="subscript"/>
        <sz val="10"/>
        <color theme="1"/>
        <rFont val="Arial"/>
        <family val="2"/>
      </rPr>
      <t>Z</t>
    </r>
    <r>
      <rPr>
        <vertAlign val="superscript"/>
        <sz val="10"/>
        <color theme="1"/>
        <rFont val="Arial"/>
        <family val="2"/>
      </rPr>
      <t>2</t>
    </r>
  </si>
  <si>
    <t>Soll-Innendurchmesser (inkl. t - Bautech. Nutzraum)</t>
  </si>
  <si>
    <r>
      <t>h</t>
    </r>
    <r>
      <rPr>
        <vertAlign val="subscript"/>
        <sz val="10"/>
        <rFont val="Arial"/>
        <family val="2"/>
      </rPr>
      <t>Entwässerung</t>
    </r>
    <r>
      <rPr>
        <sz val="10"/>
        <rFont val="Arial"/>
        <family val="2"/>
      </rPr>
      <t xml:space="preserve"> (seitlich unterhalb FBP)</t>
    </r>
  </si>
  <si>
    <t>b (Raum für spätere bauliche Massnahmen)</t>
  </si>
  <si>
    <r>
      <t>R</t>
    </r>
    <r>
      <rPr>
        <vertAlign val="subscript"/>
        <sz val="10"/>
        <rFont val="Arial"/>
        <family val="2"/>
      </rPr>
      <t>innen</t>
    </r>
    <r>
      <rPr>
        <sz val="10"/>
        <rFont val="Arial"/>
        <family val="2"/>
      </rPr>
      <t xml:space="preserve"> - b</t>
    </r>
  </si>
  <si>
    <t>Strom Mittelspannung (z.B. Lüftung)</t>
  </si>
  <si>
    <t>Strom Niederspannung (z.B. Baustelle)</t>
  </si>
  <si>
    <t>Diskontierungs-faktor</t>
  </si>
  <si>
    <r>
      <t>CO</t>
    </r>
    <r>
      <rPr>
        <vertAlign val="subscript"/>
        <sz val="10"/>
        <color theme="1"/>
        <rFont val="Arial"/>
        <family val="2"/>
      </rPr>
      <t>2</t>
    </r>
    <r>
      <rPr>
        <sz val="10"/>
        <color theme="1"/>
        <rFont val="Arial"/>
        <family val="2"/>
      </rPr>
      <t>/kWh Strom heute</t>
    </r>
  </si>
  <si>
    <r>
      <t>CO</t>
    </r>
    <r>
      <rPr>
        <vertAlign val="subscript"/>
        <sz val="10"/>
        <color theme="1"/>
        <rFont val="Arial"/>
        <family val="2"/>
      </rPr>
      <t>2</t>
    </r>
    <r>
      <rPr>
        <sz val="10"/>
        <color theme="1"/>
        <rFont val="Arial"/>
        <family val="2"/>
      </rPr>
      <t>/kWh Strom zukünftig</t>
    </r>
  </si>
  <si>
    <r>
      <t>CHF/t CO</t>
    </r>
    <r>
      <rPr>
        <vertAlign val="subscript"/>
        <sz val="10"/>
        <color theme="1"/>
        <rFont val="Arial"/>
        <family val="2"/>
      </rPr>
      <t>2</t>
    </r>
  </si>
  <si>
    <t>Negativer Preis, da der Preis von anderen Baustoffen billiger wird, weil dort kein/weniger Material benötigt wird</t>
  </si>
  <si>
    <t>Negativer Preis, da der Preis des Betons bei der Ausbruchsicherung und des Innenausbaus billiger wird, weil dort kein/weniger Betonzuschlag benötigt wird</t>
  </si>
  <si>
    <t>Transportmittel - zu/nach Baustelle pro Röhre</t>
  </si>
  <si>
    <t>Material Transport - zu/nach Baustelle pro Röhre</t>
  </si>
  <si>
    <t>Transport zu/nach Baustelle pro Röhre</t>
  </si>
  <si>
    <t xml:space="preserve">   vom Portal bis Mitte Bauabschnitt [km]</t>
  </si>
  <si>
    <r>
      <t>b</t>
    </r>
    <r>
      <rPr>
        <vertAlign val="subscript"/>
        <sz val="10"/>
        <rFont val="Arial"/>
        <family val="2"/>
      </rPr>
      <t>LRP</t>
    </r>
    <r>
      <rPr>
        <sz val="10"/>
        <rFont val="Arial"/>
        <family val="2"/>
      </rPr>
      <t xml:space="preserve"> (Lichtraumprofil inkl. Dienstweg und Fluchtweg) / 2</t>
    </r>
  </si>
  <si>
    <t>Annahme Feste Fahrbahn</t>
  </si>
  <si>
    <t>SIA 197/1 - bei Ausbau mit bewehrter Verkleidung</t>
  </si>
  <si>
    <t>Annahme</t>
  </si>
  <si>
    <t>Feste Fahrbahn</t>
  </si>
  <si>
    <t>AB-EBV / SIA 197/1</t>
  </si>
  <si>
    <t>AB-EBV</t>
  </si>
  <si>
    <t>ES: Fluchtweg nur relevant bei Tunnels mit Durchmesser kleiner als 6.13 m was durch das LRP nicht machbar ist.</t>
  </si>
  <si>
    <t>1.X</t>
  </si>
  <si>
    <t>Validierung des Modells</t>
  </si>
  <si>
    <t>Feld mit Default-Wert</t>
  </si>
  <si>
    <t>Legende</t>
  </si>
  <si>
    <t>Leer</t>
  </si>
  <si>
    <t>Ausgefüllt</t>
  </si>
  <si>
    <t xml:space="preserve">Leer </t>
  </si>
  <si>
    <t>Eingabefelder</t>
  </si>
  <si>
    <t xml:space="preserve">Feld abhängig von einem anderen Eintrag </t>
  </si>
  <si>
    <t>Fehler</t>
  </si>
  <si>
    <t>Orange Pflichtfelder sind zwingend auszufüllen. Felder, zu denen Defaultwerte vorhanden sind, können freigelassen oder mit präzisierenden Angaben versehen werden (vgl. Farbgebung des Feldnamens) 
Werden bei Feldern mit Default-Werten Werte eingetragen, so werden diese verwendet, ansonsten die blau angegebenen Defaultwerte (letztere müssen nicht eingetragen werden).</t>
  </si>
  <si>
    <t>Nur die orangen/gelben Felder können ausgefüllt werden, die restlichen sind schreibgeschützt.</t>
  </si>
  <si>
    <t>Fehleingaben werden mit rotem Text hervorgehoben</t>
  </si>
  <si>
    <t>Verschiedene Felder sind von der Vortriebsmethodik abhängig (vgl. Farbgebung Legende und Hinweise in der zugehörigen Spalte).</t>
  </si>
  <si>
    <t>Zum Thema "Im Tunnel verkehrende Zugtypen" stehen max. 10 Felder zur Verfügung, um die verschiedenen durch den Tunnel verkehrenden Zugtypen (Reise- und Güterzüge gemäss 
Tabelle in Spalte P ff) über Auswahlfelder aufzuführen.</t>
  </si>
  <si>
    <t xml:space="preserve">Zum Thema "Geschwindigkeitsprofil" sind die Werte für die beiden Portale (km 0 und Wert entsprechend Gesamtlänge) sowie bis zu 3 weitere Stellen pro Fahrtrichtung einzutragen (in aufsteigender Distanz vom jeweiligen Einfahrportal) Gerechnet wird mit linear interpolierten Werten zwischen den Stützstellen (vgl. graphische Visualisierung), wobei maximal die Höchstgeschwindigkeit des jeweiligen Zugs verwendet wird. Durch die Angabe eines Geschwindigkeitsprofils sollen möglichst realistische Werte vorgegeben werden (abhängig von Steigung, zulässiger Geschwindigkeit ausserhalb der Portale). Aus betrieblichen Gründen reduzierte Geschwindigkeiten (besetzter Streckenabschnitt in Fahrtrichtung, energieoptimiertes Fahren etc.) sind nicht zu berücksichtigen (d.h. die effektive Geschwindigkeit ist in der Praxis oft kleiner). </t>
  </si>
  <si>
    <t>Bsp.: 0.1 bedeutet, dass während 10% der Betriebsdauer Bahnstrom eingesetzt wird, der nicht zu 100% aus erneuerbaren Quellen stammt.</t>
  </si>
  <si>
    <t>Bsp. (falls Wert in Zelle C199 &gt;0): Anteil erneuerbarer Strom während den Jahren, wo dieser nicht 100% ausmacht.</t>
  </si>
  <si>
    <t>Im GrETu-Bericht wird ein Wert von 210 vorgeschlagen.</t>
  </si>
  <si>
    <t>Im GrETu-Bericht wird ein Wert von 0.02 vorgeschlagen (d.h. 2%).</t>
  </si>
  <si>
    <t>Diskontrate (Abzinsungsfaktor für Kosten nach Inbetriebnahme Tunnel)</t>
  </si>
  <si>
    <t>Monetarisierung Treibhausgasemissionen</t>
  </si>
  <si>
    <t>Bsp.: 0.01 bedeutet jährliche Zunahme (ab Inbetriebnahme Tunnel) um 1 Rappen/kWh (Abnahme: negativer Wert, z.B. -0.01)</t>
  </si>
  <si>
    <t>Im GrETu-Bericht 0.115 (Preis, der im 2022 vom Strommarkt für Bahnstrom gezahlt wurde, der ins öffentlichen Netz eingespeist wurde).</t>
  </si>
  <si>
    <t>Anteil an Betriebsdauer mit nicht ausschliesslich erneuerbarem Bahnstrom</t>
  </si>
  <si>
    <t>elektrischer Wirkungsgrad Antrieb (Loks, Triebwagen)</t>
  </si>
  <si>
    <t>Aerody. Wider-standsbeiwert C</t>
  </si>
  <si>
    <t>Werte &lt;&gt;1 nur für Korrekturen zur Angleichung an verifiziertes Modell oder an Messwerte (bis Abschluss Projekt GrETu nicht genutzt)</t>
  </si>
  <si>
    <t>27.02.2023 - Schlussbericht GrETu</t>
  </si>
  <si>
    <t>Kosten Treibhausgasemissionen (während Betriebsphase diskontiert)</t>
  </si>
  <si>
    <t>total Treibhausgasemissionen</t>
  </si>
  <si>
    <t>Treibhausgasemissionen:</t>
  </si>
  <si>
    <t>Prozessname ecoinvent 3.9.1</t>
  </si>
  <si>
    <t>market for concrete, normal strength {CH}</t>
  </si>
  <si>
    <t>kg CO2e</t>
  </si>
  <si>
    <t>steel production, electric, low-alloyed {CH}</t>
  </si>
  <si>
    <t>market for polyvinylchloride, bulk polymerised {GLO}</t>
  </si>
  <si>
    <t>electricity production, high voltage, for Swiss Federal Railways {CH}</t>
  </si>
  <si>
    <t>market for electricity, low voltage {CH}</t>
  </si>
  <si>
    <t>market for electricity, medium voltage {CH}</t>
  </si>
  <si>
    <t>market for transport, freight train {CH}</t>
  </si>
  <si>
    <t>market for transport, freight, lorry 28 metric ton, fatty acid methyl ester 100% {CH}</t>
  </si>
  <si>
    <t>explosive production, tovex {CH}</t>
  </si>
  <si>
    <t>market for diesel {CH}</t>
  </si>
  <si>
    <t>market for gravel, crushed {CH}</t>
  </si>
  <si>
    <t>Werte aus Ecoinvent. Datensatz: Ecoinvent v 3.9.1</t>
  </si>
  <si>
    <t>07.09.2023 - Update der Energiewerte mit Ecoinvent v. 3.9.1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</si>
</sst>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quot;CHF&quot;\ * #,##0.00_ ;_ &quot;CHF&quot;\ * \-#,##0.00_ ;_ &quot;CHF&quot;\ * &quot;-&quot;??_ ;_ @_ "/>
    <numFmt numFmtId="43" formatCode="_ * #,##0.00_ ;_ * \-#,##0.00_ ;_ * &quot;-&quot;??_ ;_ @_ "/>
    <numFmt numFmtId="164" formatCode="_ [$CHF-807]\ * #,##0.00_ ;_ [$CHF-807]\ * \-#,##0.00_ ;_ [$CHF-807]\ * &quot;-&quot;??_ ;_ @_ "/>
    <numFmt numFmtId="165" formatCode="0.00000"/>
    <numFmt numFmtId="166" formatCode="0.000"/>
    <numFmt numFmtId="167" formatCode="0.0000"/>
    <numFmt numFmtId="168" formatCode="0.0"/>
    <numFmt numFmtId="169" formatCode="#,##0.0"/>
    <numFmt numFmtId="170" formatCode="#,##0.000"/>
    <numFmt numFmtId="171" formatCode="_ * #,##0_ ;_ * \-#,##0_ ;_ * &quot;-&quot;??_ ;_ @_ "/>
    <numFmt numFmtId="172" formatCode="0\ &quot;km&quot;"/>
    <numFmt numFmtId="173" formatCode="0\ &quot;Jahre&quot;"/>
    <numFmt numFmtId="174" formatCode="0\ &quot;kg/m³&quot;"/>
    <numFmt numFmtId="175" formatCode="0.00\ &quot;m²&quot;"/>
  </numFmts>
  <fonts count="50">
    <font>
      <sz val="10"/>
      <color theme="1"/>
      <name val="Arial"/>
      <family val="2"/>
    </font>
    <font>
      <sz val="10"/>
      <color theme="1"/>
      <name val="Arial"/>
      <family val="2"/>
    </font>
    <font>
      <sz val="10"/>
      <color rgb="FFFF0000"/>
      <name val="Arial"/>
      <family val="2"/>
    </font>
    <font>
      <sz val="10"/>
      <name val="Arial"/>
      <family val="2"/>
    </font>
    <font>
      <sz val="8"/>
      <name val="Arial"/>
      <family val="2"/>
    </font>
    <font>
      <sz val="10"/>
      <color rgb="FF7030A0"/>
      <name val="Arial"/>
      <family val="2"/>
    </font>
    <font>
      <i/>
      <sz val="10"/>
      <color theme="1"/>
      <name val="Arial"/>
      <family val="2"/>
    </font>
    <font>
      <i/>
      <sz val="10"/>
      <name val="Arial"/>
      <family val="2"/>
    </font>
    <font>
      <b/>
      <sz val="10"/>
      <color rgb="FF000000"/>
      <name val="Arial"/>
      <family val="2"/>
    </font>
    <font>
      <sz val="10"/>
      <color rgb="FF000000"/>
      <name val="Arial"/>
      <family val="2"/>
    </font>
    <font>
      <sz val="10"/>
      <color rgb="FF305496"/>
      <name val="Arial"/>
      <family val="2"/>
    </font>
    <font>
      <vertAlign val="subscript"/>
      <sz val="10"/>
      <color theme="1"/>
      <name val="Arial"/>
      <family val="2"/>
    </font>
    <font>
      <sz val="8"/>
      <color theme="1"/>
      <name val="Arial"/>
      <family val="2"/>
    </font>
    <font>
      <b/>
      <sz val="11"/>
      <color theme="0"/>
      <name val="Arial"/>
      <family val="2"/>
    </font>
    <font>
      <b/>
      <sz val="10"/>
      <color theme="1"/>
      <name val="Arial"/>
      <family val="2"/>
    </font>
    <font>
      <sz val="11"/>
      <color theme="1"/>
      <name val="Calibri"/>
      <family val="2"/>
      <scheme val="minor"/>
    </font>
    <font>
      <vertAlign val="superscript"/>
      <sz val="10"/>
      <name val="Arial"/>
      <family val="2"/>
    </font>
    <font>
      <sz val="10"/>
      <color rgb="FF0070C0"/>
      <name val="Arial"/>
      <family val="2"/>
    </font>
    <font>
      <sz val="9"/>
      <color theme="1"/>
      <name val="Arial"/>
      <family val="2"/>
    </font>
    <font>
      <sz val="9"/>
      <name val="Arial"/>
      <family val="2"/>
    </font>
    <font>
      <b/>
      <vertAlign val="subscript"/>
      <sz val="10"/>
      <name val="Arial"/>
      <family val="2"/>
    </font>
    <font>
      <sz val="10"/>
      <name val="Symbol"/>
      <family val="1"/>
      <charset val="2"/>
    </font>
    <font>
      <vertAlign val="subscript"/>
      <sz val="10"/>
      <name val="Arial"/>
      <family val="2"/>
    </font>
    <font>
      <b/>
      <sz val="10"/>
      <color rgb="FF0070C0"/>
      <name val="Arial"/>
      <family val="2"/>
    </font>
    <font>
      <b/>
      <vertAlign val="subscript"/>
      <sz val="10"/>
      <color rgb="FF0070C0"/>
      <name val="Arial"/>
      <family val="2"/>
    </font>
    <font>
      <b/>
      <vertAlign val="subscript"/>
      <sz val="10"/>
      <color theme="1"/>
      <name val="Arial"/>
      <family val="2"/>
    </font>
    <font>
      <b/>
      <sz val="10"/>
      <name val="Arial"/>
      <family val="2"/>
    </font>
    <font>
      <b/>
      <sz val="10"/>
      <color theme="5" tint="-0.499984740745262"/>
      <name val="Arial"/>
      <family val="2"/>
    </font>
    <font>
      <sz val="10"/>
      <color theme="6"/>
      <name val="Arial"/>
      <family val="2"/>
    </font>
    <font>
      <vertAlign val="superscript"/>
      <sz val="10"/>
      <color theme="6"/>
      <name val="Arial"/>
      <family val="2"/>
    </font>
    <font>
      <sz val="9"/>
      <color rgb="FF0070C0"/>
      <name val="Arial"/>
      <family val="2"/>
    </font>
    <font>
      <i/>
      <sz val="10"/>
      <color rgb="FF0070C0"/>
      <name val="Arial"/>
      <family val="2"/>
    </font>
    <font>
      <sz val="10"/>
      <color theme="4" tint="-0.249977111117893"/>
      <name val="Arial"/>
      <family val="2"/>
    </font>
    <font>
      <sz val="12"/>
      <color theme="1"/>
      <name val="Arial"/>
      <family val="2"/>
    </font>
    <font>
      <sz val="12"/>
      <color rgb="FF0070C0"/>
      <name val="Arial"/>
      <family val="2"/>
    </font>
    <font>
      <sz val="9"/>
      <color rgb="FFFF0000"/>
      <name val="Arial"/>
      <family val="2"/>
    </font>
    <font>
      <b/>
      <sz val="9"/>
      <color theme="1"/>
      <name val="Arial"/>
      <family val="2"/>
    </font>
    <font>
      <b/>
      <sz val="9"/>
      <name val="Arial"/>
      <family val="2"/>
    </font>
    <font>
      <b/>
      <sz val="11"/>
      <name val="Arial"/>
      <family val="2"/>
    </font>
    <font>
      <u/>
      <sz val="10"/>
      <color theme="10"/>
      <name val="Arial"/>
      <family val="2"/>
    </font>
    <font>
      <sz val="10"/>
      <color rgb="FFFF00FF"/>
      <name val="Arial"/>
      <family val="2"/>
    </font>
    <font>
      <vertAlign val="superscript"/>
      <sz val="10"/>
      <color theme="1"/>
      <name val="Arial"/>
      <family val="2"/>
    </font>
    <font>
      <b/>
      <sz val="10"/>
      <color theme="0"/>
      <name val="Arial"/>
      <family val="2"/>
    </font>
    <font>
      <sz val="10"/>
      <color theme="0" tint="-0.34998626667073579"/>
      <name val="Arial"/>
      <family val="2"/>
    </font>
    <font>
      <sz val="11"/>
      <color rgb="FF4F4F4F"/>
      <name val="Arial"/>
      <family val="2"/>
    </font>
    <font>
      <vertAlign val="superscript"/>
      <sz val="10"/>
      <color rgb="FF0070C0"/>
      <name val="Arial"/>
      <family val="2"/>
    </font>
    <font>
      <b/>
      <vertAlign val="subscript"/>
      <sz val="11"/>
      <color theme="0"/>
      <name val="Arial"/>
      <family val="2"/>
    </font>
    <font>
      <vertAlign val="subscript"/>
      <sz val="9"/>
      <color theme="1"/>
      <name val="Arial"/>
      <family val="2"/>
    </font>
    <font>
      <u/>
      <sz val="11"/>
      <color theme="10"/>
      <name val="Calibri"/>
      <family val="2"/>
      <scheme val="minor"/>
    </font>
    <font>
      <sz val="11"/>
      <color theme="1"/>
      <name val="Helvetica LT Pro"/>
      <family val="2"/>
    </font>
  </fonts>
  <fills count="24">
    <fill>
      <patternFill patternType="none"/>
    </fill>
    <fill>
      <patternFill patternType="gray125"/>
    </fill>
    <fill>
      <patternFill patternType="solid">
        <fgColor theme="9" tint="0.5999938962981048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E2EFDA"/>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rgb="FF0070C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79998168889431442"/>
        <bgColor indexed="64"/>
      </patternFill>
    </fill>
    <fill>
      <gradientFill degree="45">
        <stop position="0">
          <color theme="7" tint="0.80001220740379042"/>
        </stop>
        <stop position="1">
          <color theme="5" tint="0.40000610370189521"/>
        </stop>
      </gradientFill>
    </fill>
  </fills>
  <borders count="23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left style="thin">
        <color indexed="64"/>
      </left>
      <right style="hair">
        <color auto="1"/>
      </right>
      <top/>
      <bottom style="hair">
        <color auto="1"/>
      </bottom>
      <diagonal/>
    </border>
    <border>
      <left style="hair">
        <color auto="1"/>
      </left>
      <right style="thin">
        <color indexed="64"/>
      </right>
      <top/>
      <bottom style="hair">
        <color auto="1"/>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indexed="64"/>
      </left>
      <right style="hair">
        <color theme="0" tint="-0.499984740745262"/>
      </right>
      <top style="thin">
        <color indexed="64"/>
      </top>
      <bottom style="hair">
        <color theme="0" tint="-0.499984740745262"/>
      </bottom>
      <diagonal/>
    </border>
    <border>
      <left style="hair">
        <color theme="0" tint="-0.499984740745262"/>
      </left>
      <right style="hair">
        <color theme="0" tint="-0.499984740745262"/>
      </right>
      <top style="thin">
        <color indexed="64"/>
      </top>
      <bottom style="hair">
        <color theme="0" tint="-0.499984740745262"/>
      </bottom>
      <diagonal/>
    </border>
    <border>
      <left style="hair">
        <color theme="0" tint="-0.499984740745262"/>
      </left>
      <right style="thin">
        <color indexed="64"/>
      </right>
      <top style="thin">
        <color indexed="64"/>
      </top>
      <bottom style="hair">
        <color theme="0" tint="-0.499984740745262"/>
      </bottom>
      <diagonal/>
    </border>
    <border>
      <left style="thin">
        <color indexed="64"/>
      </left>
      <right style="hair">
        <color theme="0" tint="-0.499984740745262"/>
      </right>
      <top style="hair">
        <color theme="0" tint="-0.499984740745262"/>
      </top>
      <bottom style="hair">
        <color theme="0" tint="-0.499984740745262"/>
      </bottom>
      <diagonal/>
    </border>
    <border>
      <left style="hair">
        <color theme="0" tint="-0.499984740745262"/>
      </left>
      <right style="thin">
        <color indexed="64"/>
      </right>
      <top style="hair">
        <color theme="0" tint="-0.499984740745262"/>
      </top>
      <bottom style="hair">
        <color theme="0" tint="-0.499984740745262"/>
      </bottom>
      <diagonal/>
    </border>
    <border>
      <left style="thin">
        <color indexed="64"/>
      </left>
      <right style="hair">
        <color theme="0" tint="-0.499984740745262"/>
      </right>
      <top style="hair">
        <color theme="0" tint="-0.499984740745262"/>
      </top>
      <bottom style="thin">
        <color indexed="64"/>
      </bottom>
      <diagonal/>
    </border>
    <border>
      <left style="hair">
        <color theme="0" tint="-0.499984740745262"/>
      </left>
      <right style="hair">
        <color theme="0" tint="-0.499984740745262"/>
      </right>
      <top style="hair">
        <color theme="0" tint="-0.499984740745262"/>
      </top>
      <bottom style="thin">
        <color indexed="64"/>
      </bottom>
      <diagonal/>
    </border>
    <border>
      <left style="hair">
        <color theme="0" tint="-0.499984740745262"/>
      </left>
      <right style="thin">
        <color indexed="64"/>
      </right>
      <top style="hair">
        <color theme="0" tint="-0.499984740745262"/>
      </top>
      <bottom style="thin">
        <color indexed="64"/>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thin">
        <color indexed="64"/>
      </right>
      <top/>
      <bottom style="hair">
        <color theme="0" tint="-0.499984740745262"/>
      </bottom>
      <diagonal/>
    </border>
    <border>
      <left style="thin">
        <color indexed="64"/>
      </left>
      <right style="hair">
        <color theme="0" tint="-0.499984740745262"/>
      </right>
      <top style="thin">
        <color indexed="64"/>
      </top>
      <bottom style="dashed">
        <color theme="0" tint="-0.499984740745262"/>
      </bottom>
      <diagonal/>
    </border>
    <border>
      <left style="hair">
        <color theme="0" tint="-0.499984740745262"/>
      </left>
      <right style="hair">
        <color theme="0" tint="-0.499984740745262"/>
      </right>
      <top style="thin">
        <color indexed="64"/>
      </top>
      <bottom style="dashed">
        <color theme="0" tint="-0.499984740745262"/>
      </bottom>
      <diagonal/>
    </border>
    <border>
      <left style="hair">
        <color theme="0" tint="-0.499984740745262"/>
      </left>
      <right style="thin">
        <color indexed="64"/>
      </right>
      <top style="thin">
        <color indexed="64"/>
      </top>
      <bottom style="dashed">
        <color theme="0" tint="-0.499984740745262"/>
      </bottom>
      <diagonal/>
    </border>
    <border>
      <left style="hair">
        <color auto="1"/>
      </left>
      <right style="hair">
        <color auto="1"/>
      </right>
      <top/>
      <bottom style="thin">
        <color indexed="64"/>
      </bottom>
      <diagonal/>
    </border>
    <border>
      <left style="thin">
        <color auto="1"/>
      </left>
      <right style="thin">
        <color auto="1"/>
      </right>
      <top style="thin">
        <color auto="1"/>
      </top>
      <bottom style="hair">
        <color theme="0" tint="-0.499984740745262"/>
      </bottom>
      <diagonal/>
    </border>
    <border>
      <left style="thin">
        <color auto="1"/>
      </left>
      <right style="thin">
        <color auto="1"/>
      </right>
      <top style="hair">
        <color theme="0" tint="-0.499984740745262"/>
      </top>
      <bottom style="hair">
        <color theme="0" tint="-0.499984740745262"/>
      </bottom>
      <diagonal/>
    </border>
    <border>
      <left style="thin">
        <color auto="1"/>
      </left>
      <right style="thin">
        <color auto="1"/>
      </right>
      <top style="hair">
        <color theme="0" tint="-0.499984740745262"/>
      </top>
      <bottom style="thin">
        <color auto="1"/>
      </bottom>
      <diagonal/>
    </border>
    <border>
      <left/>
      <right style="hair">
        <color theme="0" tint="-0.499984740745262"/>
      </right>
      <top style="hair">
        <color theme="0" tint="-0.499984740745262"/>
      </top>
      <bottom style="hair">
        <color theme="0" tint="-0.499984740745262"/>
      </bottom>
      <diagonal/>
    </border>
    <border>
      <left style="thin">
        <color indexed="64"/>
      </left>
      <right/>
      <top style="thin">
        <color indexed="64"/>
      </top>
      <bottom style="dashed">
        <color theme="0" tint="-0.499984740745262"/>
      </bottom>
      <diagonal/>
    </border>
    <border>
      <left/>
      <right/>
      <top style="thin">
        <color indexed="64"/>
      </top>
      <bottom style="dashed">
        <color theme="0" tint="-0.499984740745262"/>
      </bottom>
      <diagonal/>
    </border>
    <border>
      <left/>
      <right style="thin">
        <color indexed="64"/>
      </right>
      <top style="thin">
        <color indexed="64"/>
      </top>
      <bottom style="dashed">
        <color theme="0" tint="-0.499984740745262"/>
      </bottom>
      <diagonal/>
    </border>
    <border>
      <left/>
      <right style="hair">
        <color theme="0" tint="-0.499984740745262"/>
      </right>
      <top/>
      <bottom style="hair">
        <color theme="0" tint="-0.499984740745262"/>
      </bottom>
      <diagonal/>
    </border>
    <border>
      <left style="hair">
        <color theme="0" tint="-0.499984740745262"/>
      </left>
      <right style="dashed">
        <color theme="0" tint="-0.499984740745262"/>
      </right>
      <top style="thin">
        <color indexed="64"/>
      </top>
      <bottom style="hair">
        <color theme="0" tint="-0.499984740745262"/>
      </bottom>
      <diagonal/>
    </border>
    <border>
      <left style="hair">
        <color theme="0" tint="-0.499984740745262"/>
      </left>
      <right style="dashed">
        <color theme="0" tint="-0.499984740745262"/>
      </right>
      <top style="hair">
        <color theme="0" tint="-0.499984740745262"/>
      </top>
      <bottom style="hair">
        <color theme="0" tint="-0.499984740745262"/>
      </bottom>
      <diagonal/>
    </border>
    <border>
      <left style="hair">
        <color theme="0" tint="-0.499984740745262"/>
      </left>
      <right style="dashed">
        <color theme="0" tint="-0.499984740745262"/>
      </right>
      <top style="hair">
        <color theme="0" tint="-0.499984740745262"/>
      </top>
      <bottom style="thin">
        <color indexed="64"/>
      </bottom>
      <diagonal/>
    </border>
    <border>
      <left style="thin">
        <color auto="1"/>
      </left>
      <right style="thin">
        <color auto="1"/>
      </right>
      <top/>
      <bottom style="hair">
        <color theme="0" tint="-0.499984740745262"/>
      </bottom>
      <diagonal/>
    </border>
    <border>
      <left style="thin">
        <color auto="1"/>
      </left>
      <right style="thin">
        <color auto="1"/>
      </right>
      <top style="thin">
        <color indexed="64"/>
      </top>
      <bottom style="dotted">
        <color theme="0" tint="-0.499984740745262"/>
      </bottom>
      <diagonal/>
    </border>
    <border>
      <left style="thin">
        <color auto="1"/>
      </left>
      <right style="thin">
        <color auto="1"/>
      </right>
      <top/>
      <bottom/>
      <diagonal/>
    </border>
    <border>
      <left style="thin">
        <color auto="1"/>
      </left>
      <right style="thin">
        <color auto="1"/>
      </right>
      <top style="hair">
        <color theme="0" tint="-0.499984740745262"/>
      </top>
      <bottom/>
      <diagonal/>
    </border>
    <border>
      <left style="dashed">
        <color theme="0" tint="-0.499984740745262"/>
      </left>
      <right style="hair">
        <color theme="0" tint="-0.499984740745262"/>
      </right>
      <top style="hair">
        <color theme="0" tint="-0.499984740745262"/>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theme="6"/>
      </top>
      <bottom style="thin">
        <color theme="6"/>
      </bottom>
      <diagonal/>
    </border>
    <border>
      <left/>
      <right/>
      <top style="thin">
        <color theme="6"/>
      </top>
      <bottom style="thin">
        <color theme="6"/>
      </bottom>
      <diagonal/>
    </border>
    <border>
      <left style="thin">
        <color indexed="64"/>
      </left>
      <right/>
      <top style="thin">
        <color theme="6"/>
      </top>
      <bottom style="thin">
        <color theme="6"/>
      </bottom>
      <diagonal/>
    </border>
    <border>
      <left/>
      <right style="thin">
        <color indexed="64"/>
      </right>
      <top style="hair">
        <color theme="6"/>
      </top>
      <bottom style="hair">
        <color theme="6"/>
      </bottom>
      <diagonal/>
    </border>
    <border>
      <left/>
      <right/>
      <top style="hair">
        <color theme="6"/>
      </top>
      <bottom style="hair">
        <color theme="6"/>
      </bottom>
      <diagonal/>
    </border>
    <border>
      <left style="thin">
        <color indexed="64"/>
      </left>
      <right/>
      <top style="hair">
        <color theme="6"/>
      </top>
      <bottom style="hair">
        <color theme="6"/>
      </bottom>
      <diagonal/>
    </border>
    <border>
      <left/>
      <right style="thin">
        <color indexed="64"/>
      </right>
      <top/>
      <bottom style="thin">
        <color theme="6"/>
      </bottom>
      <diagonal/>
    </border>
    <border>
      <left/>
      <right/>
      <top/>
      <bottom style="hair">
        <color theme="6"/>
      </bottom>
      <diagonal/>
    </border>
    <border>
      <left style="thin">
        <color indexed="64"/>
      </left>
      <right/>
      <top/>
      <bottom style="hair">
        <color theme="6"/>
      </bottom>
      <diagonal/>
    </border>
    <border>
      <left/>
      <right style="thin">
        <color indexed="64"/>
      </right>
      <top/>
      <bottom style="hair">
        <color theme="6"/>
      </bottom>
      <diagonal/>
    </border>
    <border>
      <left/>
      <right/>
      <top/>
      <bottom style="thin">
        <color theme="6"/>
      </bottom>
      <diagonal/>
    </border>
    <border>
      <left style="thin">
        <color indexed="64"/>
      </left>
      <right/>
      <top/>
      <bottom style="thin">
        <color theme="6"/>
      </bottom>
      <diagonal/>
    </border>
    <border>
      <left/>
      <right/>
      <top style="thin">
        <color theme="6"/>
      </top>
      <bottom style="hair">
        <color theme="6"/>
      </bottom>
      <diagonal/>
    </border>
    <border>
      <left style="thin">
        <color indexed="64"/>
      </left>
      <right/>
      <top style="thin">
        <color theme="6"/>
      </top>
      <bottom style="hair">
        <color theme="6"/>
      </bottom>
      <diagonal/>
    </border>
    <border>
      <left/>
      <right style="thin">
        <color indexed="64"/>
      </right>
      <top style="thin">
        <color theme="6"/>
      </top>
      <bottom style="hair">
        <color theme="6"/>
      </bottom>
      <diagonal/>
    </border>
    <border>
      <left/>
      <right/>
      <top style="hair">
        <color theme="6"/>
      </top>
      <bottom style="thin">
        <color theme="6"/>
      </bottom>
      <diagonal/>
    </border>
    <border>
      <left style="thin">
        <color indexed="64"/>
      </left>
      <right/>
      <top style="hair">
        <color theme="6"/>
      </top>
      <bottom style="thin">
        <color theme="6"/>
      </bottom>
      <diagonal/>
    </border>
    <border>
      <left/>
      <right style="thin">
        <color indexed="64"/>
      </right>
      <top style="hair">
        <color theme="6"/>
      </top>
      <bottom style="thin">
        <color theme="6"/>
      </bottom>
      <diagonal/>
    </border>
    <border>
      <left/>
      <right/>
      <top style="hair">
        <color theme="6"/>
      </top>
      <bottom/>
      <diagonal/>
    </border>
    <border>
      <left style="thin">
        <color indexed="64"/>
      </left>
      <right/>
      <top style="hair">
        <color theme="6"/>
      </top>
      <bottom/>
      <diagonal/>
    </border>
    <border>
      <left/>
      <right style="thin">
        <color indexed="64"/>
      </right>
      <top style="hair">
        <color theme="6"/>
      </top>
      <bottom/>
      <diagonal/>
    </border>
    <border>
      <left style="thin">
        <color theme="6"/>
      </left>
      <right/>
      <top style="thin">
        <color theme="6"/>
      </top>
      <bottom style="hair">
        <color theme="6"/>
      </bottom>
      <diagonal/>
    </border>
    <border>
      <left style="thin">
        <color theme="6"/>
      </left>
      <right/>
      <top style="hair">
        <color theme="6"/>
      </top>
      <bottom style="hair">
        <color theme="6"/>
      </bottom>
      <diagonal/>
    </border>
    <border>
      <left style="thin">
        <color theme="6"/>
      </left>
      <right/>
      <top style="hair">
        <color theme="6"/>
      </top>
      <bottom style="thin">
        <color theme="6"/>
      </bottom>
      <diagonal/>
    </border>
    <border>
      <left style="thin">
        <color theme="6"/>
      </left>
      <right/>
      <top/>
      <bottom style="hair">
        <color theme="6"/>
      </bottom>
      <diagonal/>
    </border>
    <border>
      <left style="thin">
        <color theme="6"/>
      </left>
      <right/>
      <top style="hair">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top style="thin">
        <color theme="6"/>
      </top>
      <bottom/>
      <diagonal/>
    </border>
    <border>
      <left/>
      <right/>
      <top style="thin">
        <color theme="6"/>
      </top>
      <bottom/>
      <diagonal/>
    </border>
    <border>
      <left style="thin">
        <color indexed="64"/>
      </left>
      <right/>
      <top style="thin">
        <color theme="6"/>
      </top>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indexed="64"/>
      </left>
      <right style="thin">
        <color indexed="64"/>
      </right>
      <top style="thin">
        <color indexed="64"/>
      </top>
      <bottom/>
      <diagonal/>
    </border>
    <border>
      <left style="thin">
        <color theme="6"/>
      </left>
      <right/>
      <top/>
      <bottom style="thin">
        <color theme="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style="thin">
        <color auto="1"/>
      </left>
      <right style="thin">
        <color auto="1"/>
      </right>
      <top/>
      <bottom style="thin">
        <color theme="0" tint="-0.34998626667073579"/>
      </bottom>
      <diagonal/>
    </border>
    <border>
      <left style="thin">
        <color auto="1"/>
      </left>
      <right style="thin">
        <color auto="1"/>
      </right>
      <top style="thin">
        <color theme="0" tint="-0.34998626667073579"/>
      </top>
      <bottom/>
      <diagonal/>
    </border>
    <border>
      <left style="thin">
        <color auto="1"/>
      </left>
      <right style="thin">
        <color auto="1"/>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style="thin">
        <color theme="0" tint="-0.34998626667073579"/>
      </top>
      <bottom style="hair">
        <color theme="0" tint="-0.34998626667073579"/>
      </bottom>
      <diagonal/>
    </border>
    <border>
      <left style="thin">
        <color auto="1"/>
      </left>
      <right style="thin">
        <color auto="1"/>
      </right>
      <top style="thin">
        <color theme="0" tint="-0.34998626667073579"/>
      </top>
      <bottom style="hair">
        <color theme="0" tint="-0.34998626667073579"/>
      </bottom>
      <diagonal/>
    </border>
    <border>
      <left/>
      <right style="thin">
        <color indexed="64"/>
      </right>
      <top style="thin">
        <color theme="0" tint="-0.34998626667073579"/>
      </top>
      <bottom style="hair">
        <color theme="0" tint="-0.34998626667073579"/>
      </bottom>
      <diagonal/>
    </border>
    <border>
      <left/>
      <right/>
      <top style="hair">
        <color theme="0" tint="-0.34998626667073579"/>
      </top>
      <bottom style="thin">
        <color theme="0" tint="-0.34998626667073579"/>
      </bottom>
      <diagonal/>
    </border>
    <border>
      <left style="thin">
        <color auto="1"/>
      </left>
      <right style="thin">
        <color auto="1"/>
      </right>
      <top style="hair">
        <color theme="0" tint="-0.34998626667073579"/>
      </top>
      <bottom style="thin">
        <color theme="0" tint="-0.34998626667073579"/>
      </bottom>
      <diagonal/>
    </border>
    <border>
      <left/>
      <right style="thin">
        <color indexed="64"/>
      </right>
      <top style="hair">
        <color theme="0" tint="-0.34998626667073579"/>
      </top>
      <bottom style="thin">
        <color theme="0" tint="-0.34998626667073579"/>
      </bottom>
      <diagonal/>
    </border>
    <border>
      <left/>
      <right/>
      <top style="hair">
        <color theme="0" tint="-0.34998626667073579"/>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style="hair">
        <color theme="0" tint="-0.34998626667073579"/>
      </top>
      <bottom/>
      <diagonal/>
    </border>
    <border>
      <left style="thin">
        <color auto="1"/>
      </left>
      <right style="thin">
        <color auto="1"/>
      </right>
      <top style="thin">
        <color theme="6"/>
      </top>
      <bottom style="hair">
        <color theme="6"/>
      </bottom>
      <diagonal/>
    </border>
    <border>
      <left style="thin">
        <color auto="1"/>
      </left>
      <right style="thin">
        <color auto="1"/>
      </right>
      <top style="hair">
        <color theme="6"/>
      </top>
      <bottom style="hair">
        <color theme="6"/>
      </bottom>
      <diagonal/>
    </border>
    <border>
      <left style="thin">
        <color auto="1"/>
      </left>
      <right style="thin">
        <color auto="1"/>
      </right>
      <top style="hair">
        <color theme="6"/>
      </top>
      <bottom style="thin">
        <color theme="6"/>
      </bottom>
      <diagonal/>
    </border>
    <border>
      <left style="thin">
        <color indexed="64"/>
      </left>
      <right/>
      <top style="thin">
        <color theme="0" tint="-0.34998626667073579"/>
      </top>
      <bottom style="hair">
        <color theme="0" tint="-0.34998626667073579"/>
      </bottom>
      <diagonal/>
    </border>
    <border>
      <left style="thin">
        <color indexed="64"/>
      </left>
      <right/>
      <top style="hair">
        <color theme="0" tint="-0.34998626667073579"/>
      </top>
      <bottom style="hair">
        <color theme="0" tint="-0.34998626667073579"/>
      </bottom>
      <diagonal/>
    </border>
    <border>
      <left style="thin">
        <color indexed="64"/>
      </left>
      <right/>
      <top style="hair">
        <color theme="0" tint="-0.34998626667073579"/>
      </top>
      <bottom style="thin">
        <color theme="0" tint="-0.34998626667073579"/>
      </bottom>
      <diagonal/>
    </border>
    <border>
      <left style="thin">
        <color indexed="64"/>
      </left>
      <right/>
      <top style="hair">
        <color theme="6"/>
      </top>
      <bottom style="thin">
        <color theme="0" tint="-0.34998626667073579"/>
      </bottom>
      <diagonal/>
    </border>
    <border>
      <left/>
      <right/>
      <top style="hair">
        <color theme="6"/>
      </top>
      <bottom style="thin">
        <color theme="0" tint="-0.34998626667073579"/>
      </bottom>
      <diagonal/>
    </border>
    <border>
      <left/>
      <right style="thin">
        <color indexed="64"/>
      </right>
      <top style="hair">
        <color theme="6"/>
      </top>
      <bottom style="thin">
        <color theme="0" tint="-0.34998626667073579"/>
      </bottom>
      <diagonal/>
    </border>
    <border>
      <left style="thin">
        <color indexed="64"/>
      </left>
      <right style="hair">
        <color theme="0" tint="-0.34998626667073579"/>
      </right>
      <top style="dashed">
        <color theme="0" tint="-0.499984740745262"/>
      </top>
      <bottom style="thin">
        <color indexed="64"/>
      </bottom>
      <diagonal/>
    </border>
    <border>
      <left style="hair">
        <color theme="0" tint="-0.34998626667073579"/>
      </left>
      <right style="hair">
        <color theme="0" tint="-0.34998626667073579"/>
      </right>
      <top style="dashed">
        <color theme="0" tint="-0.499984740745262"/>
      </top>
      <bottom style="thin">
        <color indexed="64"/>
      </bottom>
      <diagonal/>
    </border>
    <border>
      <left style="hair">
        <color theme="0" tint="-0.34998626667073579"/>
      </left>
      <right style="thin">
        <color indexed="64"/>
      </right>
      <top style="dashed">
        <color theme="0" tint="-0.499984740745262"/>
      </top>
      <bottom style="thin">
        <color indexed="64"/>
      </bottom>
      <diagonal/>
    </border>
    <border>
      <left style="thin">
        <color indexed="64"/>
      </left>
      <right/>
      <top style="thin">
        <color theme="6"/>
      </top>
      <bottom style="hair">
        <color theme="0" tint="-0.34998626667073579"/>
      </bottom>
      <diagonal/>
    </border>
    <border>
      <left/>
      <right/>
      <top style="thin">
        <color theme="6"/>
      </top>
      <bottom style="hair">
        <color theme="0" tint="-0.34998626667073579"/>
      </bottom>
      <diagonal/>
    </border>
    <border>
      <left/>
      <right style="thin">
        <color indexed="64"/>
      </right>
      <top style="thin">
        <color theme="6"/>
      </top>
      <bottom style="hair">
        <color theme="0" tint="-0.34998626667073579"/>
      </bottom>
      <diagonal/>
    </border>
    <border>
      <left/>
      <right style="thin">
        <color indexed="64"/>
      </right>
      <top style="hair">
        <color theme="0" tint="-0.34998626667073579"/>
      </top>
      <bottom style="hair">
        <color theme="0" tint="-0.34998626667073579"/>
      </bottom>
      <diagonal/>
    </border>
    <border>
      <left style="thin">
        <color indexed="64"/>
      </left>
      <right/>
      <top style="hair">
        <color theme="0" tint="-0.34998626667073579"/>
      </top>
      <bottom style="hair">
        <color theme="6"/>
      </bottom>
      <diagonal/>
    </border>
    <border>
      <left/>
      <right/>
      <top style="hair">
        <color theme="0" tint="-0.34998626667073579"/>
      </top>
      <bottom style="hair">
        <color theme="6"/>
      </bottom>
      <diagonal/>
    </border>
    <border>
      <left/>
      <right style="thin">
        <color indexed="64"/>
      </right>
      <top style="hair">
        <color theme="0" tint="-0.34998626667073579"/>
      </top>
      <bottom style="hair">
        <color theme="6"/>
      </bottom>
      <diagonal/>
    </border>
    <border>
      <left/>
      <right/>
      <top/>
      <bottom style="hair">
        <color theme="0" tint="-0.34998626667073579"/>
      </bottom>
      <diagonal/>
    </border>
    <border>
      <left/>
      <right/>
      <top style="hair">
        <color theme="0" tint="-0.34998626667073579"/>
      </top>
      <bottom/>
      <diagonal/>
    </border>
    <border>
      <left/>
      <right/>
      <top style="thin">
        <color theme="0" tint="-0.34998626667073579"/>
      </top>
      <bottom style="hair">
        <color theme="6"/>
      </bottom>
      <diagonal/>
    </border>
    <border>
      <left/>
      <right style="thin">
        <color indexed="64"/>
      </right>
      <top style="thin">
        <color theme="0" tint="-0.34998626667073579"/>
      </top>
      <bottom style="hair">
        <color theme="6"/>
      </bottom>
      <diagonal/>
    </border>
    <border>
      <left style="thin">
        <color auto="1"/>
      </left>
      <right style="thin">
        <color auto="1"/>
      </right>
      <top/>
      <bottom style="hair">
        <color theme="0" tint="-0.34998626667073579"/>
      </bottom>
      <diagonal/>
    </border>
    <border>
      <left style="thin">
        <color theme="0" tint="-0.34998626667073579"/>
      </left>
      <right/>
      <top style="thin">
        <color theme="0" tint="-0.34998626667073579"/>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style="thin">
        <color theme="0" tint="-0.34998626667073579"/>
      </left>
      <right/>
      <top style="hair">
        <color theme="0" tint="-0.34998626667073579"/>
      </top>
      <bottom style="thin">
        <color theme="0" tint="-0.34998626667073579"/>
      </bottom>
      <diagonal/>
    </border>
    <border>
      <left style="thin">
        <color auto="1"/>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right style="thin">
        <color theme="0" tint="-0.34998626667073579"/>
      </right>
      <top style="hair">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medium">
        <color indexed="64"/>
      </right>
      <top style="medium">
        <color indexed="64"/>
      </top>
      <bottom style="hair">
        <color theme="0" tint="-0.34998626667073579"/>
      </bottom>
      <diagonal/>
    </border>
    <border>
      <left style="medium">
        <color indexed="64"/>
      </left>
      <right style="medium">
        <color indexed="64"/>
      </right>
      <top style="hair">
        <color theme="0" tint="-0.34998626667073579"/>
      </top>
      <bottom style="thin">
        <color theme="0" tint="-0.34998626667073579"/>
      </bottom>
      <diagonal/>
    </border>
    <border>
      <left style="medium">
        <color indexed="64"/>
      </left>
      <right style="medium">
        <color indexed="64"/>
      </right>
      <top/>
      <bottom/>
      <diagonal/>
    </border>
    <border>
      <left style="medium">
        <color indexed="64"/>
      </left>
      <right style="medium">
        <color indexed="64"/>
      </right>
      <top style="thin">
        <color theme="0" tint="-0.34998626667073579"/>
      </top>
      <bottom style="hair">
        <color theme="0" tint="-0.34998626667073579"/>
      </bottom>
      <diagonal/>
    </border>
    <border>
      <left style="medium">
        <color indexed="64"/>
      </left>
      <right style="medium">
        <color indexed="64"/>
      </right>
      <top style="hair">
        <color theme="0" tint="-0.34998626667073579"/>
      </top>
      <bottom style="hair">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style="thin">
        <color indexed="64"/>
      </left>
      <right style="hair">
        <color theme="0" tint="-0.34998626667073579"/>
      </right>
      <top style="thin">
        <color theme="0" tint="-0.34998626667073579"/>
      </top>
      <bottom style="hair">
        <color theme="0" tint="-0.34998626667073579"/>
      </bottom>
      <diagonal/>
    </border>
    <border>
      <left style="hair">
        <color theme="0" tint="-0.34998626667073579"/>
      </left>
      <right style="hair">
        <color theme="0" tint="-0.34998626667073579"/>
      </right>
      <top style="thin">
        <color theme="0" tint="-0.34998626667073579"/>
      </top>
      <bottom style="hair">
        <color theme="0" tint="-0.34998626667073579"/>
      </bottom>
      <diagonal/>
    </border>
    <border>
      <left style="hair">
        <color theme="0" tint="-0.34998626667073579"/>
      </left>
      <right style="thin">
        <color indexed="64"/>
      </right>
      <top style="thin">
        <color theme="0" tint="-0.34998626667073579"/>
      </top>
      <bottom style="hair">
        <color theme="0" tint="-0.34998626667073579"/>
      </bottom>
      <diagonal/>
    </border>
    <border>
      <left style="thin">
        <color indexed="64"/>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thin">
        <color indexed="64"/>
      </right>
      <top style="hair">
        <color theme="0" tint="-0.34998626667073579"/>
      </top>
      <bottom style="hair">
        <color theme="0" tint="-0.34998626667073579"/>
      </bottom>
      <diagonal/>
    </border>
    <border>
      <left style="thin">
        <color indexed="64"/>
      </left>
      <right style="hair">
        <color theme="0" tint="-0.34998626667073579"/>
      </right>
      <top style="hair">
        <color theme="0" tint="-0.34998626667073579"/>
      </top>
      <bottom style="thin">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thin">
        <color indexed="64"/>
      </right>
      <top style="hair">
        <color theme="0" tint="-0.34998626667073579"/>
      </top>
      <bottom style="thin">
        <color theme="0" tint="-0.34998626667073579"/>
      </bottom>
      <diagonal/>
    </border>
    <border>
      <left style="thin">
        <color indexed="64"/>
      </left>
      <right style="hair">
        <color theme="0" tint="-0.34998626667073579"/>
      </right>
      <top style="thin">
        <color theme="0" tint="-0.34998626667073579"/>
      </top>
      <bottom style="thin">
        <color theme="0" tint="-0.34998626667073579"/>
      </bottom>
      <diagonal/>
    </border>
    <border>
      <left style="hair">
        <color theme="0" tint="-0.34998626667073579"/>
      </left>
      <right style="hair">
        <color theme="0" tint="-0.34998626667073579"/>
      </right>
      <top style="thin">
        <color theme="0" tint="-0.34998626667073579"/>
      </top>
      <bottom style="thin">
        <color theme="0" tint="-0.34998626667073579"/>
      </bottom>
      <diagonal/>
    </border>
    <border>
      <left style="hair">
        <color theme="0" tint="-0.34998626667073579"/>
      </left>
      <right style="thin">
        <color indexed="64"/>
      </right>
      <top style="thin">
        <color theme="0" tint="-0.34998626667073579"/>
      </top>
      <bottom style="thin">
        <color theme="0" tint="-0.34998626667073579"/>
      </bottom>
      <diagonal/>
    </border>
    <border>
      <left style="thin">
        <color indexed="64"/>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style="thin">
        <color indexed="64"/>
      </right>
      <top/>
      <bottom style="hair">
        <color theme="0" tint="-0.34998626667073579"/>
      </bottom>
      <diagonal/>
    </border>
    <border>
      <left style="thin">
        <color theme="0" tint="-0.34998626667073579"/>
      </left>
      <right/>
      <top/>
      <bottom style="hair">
        <color theme="0" tint="-0.34998626667073579"/>
      </bottom>
      <diagonal/>
    </border>
    <border>
      <left/>
      <right style="thin">
        <color indexed="64"/>
      </right>
      <top/>
      <bottom style="hair">
        <color theme="0" tint="-0.34998626667073579"/>
      </bottom>
      <diagonal/>
    </border>
    <border>
      <left style="thin">
        <color theme="0" tint="-0.34998626667073579"/>
      </left>
      <right/>
      <top style="thin">
        <color theme="0" tint="-0.34998626667073579"/>
      </top>
      <bottom/>
      <diagonal/>
    </border>
    <border>
      <left/>
      <right style="thin">
        <color indexed="64"/>
      </right>
      <top style="thin">
        <color theme="0" tint="-0.34998626667073579"/>
      </top>
      <bottom/>
      <diagonal/>
    </border>
    <border>
      <left style="thin">
        <color indexed="64"/>
      </left>
      <right style="hair">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medium">
        <color indexed="64"/>
      </left>
      <right style="thin">
        <color indexed="64"/>
      </right>
      <top style="hair">
        <color theme="0" tint="-0.34998626667073579"/>
      </top>
      <bottom style="thin">
        <color theme="0" tint="-0.34998626667073579"/>
      </bottom>
      <diagonal/>
    </border>
    <border>
      <left style="thin">
        <color indexed="64"/>
      </left>
      <right style="medium">
        <color indexed="64"/>
      </right>
      <top style="hair">
        <color theme="0" tint="-0.34998626667073579"/>
      </top>
      <bottom style="thin">
        <color theme="0" tint="-0.34998626667073579"/>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theme="0" tint="-0.34998626667073579"/>
      </top>
      <bottom style="hair">
        <color theme="0" tint="-0.34998626667073579"/>
      </bottom>
      <diagonal/>
    </border>
    <border>
      <left style="thin">
        <color indexed="64"/>
      </left>
      <right style="medium">
        <color indexed="64"/>
      </right>
      <top style="thin">
        <color theme="0" tint="-0.34998626667073579"/>
      </top>
      <bottom style="hair">
        <color theme="0" tint="-0.34998626667073579"/>
      </bottom>
      <diagonal/>
    </border>
    <border>
      <left style="medium">
        <color indexed="64"/>
      </left>
      <right style="thin">
        <color indexed="64"/>
      </right>
      <top style="hair">
        <color theme="0" tint="-0.34998626667073579"/>
      </top>
      <bottom style="hair">
        <color theme="0" tint="-0.34998626667073579"/>
      </bottom>
      <diagonal/>
    </border>
    <border>
      <left style="thin">
        <color indexed="64"/>
      </left>
      <right style="medium">
        <color indexed="64"/>
      </right>
      <top style="hair">
        <color theme="0" tint="-0.34998626667073579"/>
      </top>
      <bottom style="hair">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medium">
        <color indexed="64"/>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thin">
        <color auto="1"/>
      </bottom>
      <diagonal/>
    </border>
    <border>
      <left style="thin">
        <color theme="0" tint="-0.34998626667073579"/>
      </left>
      <right style="thin">
        <color indexed="64"/>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indexed="64"/>
      </bottom>
      <diagonal/>
    </border>
    <border>
      <left style="thin">
        <color theme="0" tint="-0.34998626667073579"/>
      </left>
      <right style="thin">
        <color indexed="64"/>
      </right>
      <top style="hair">
        <color theme="0" tint="-0.34998626667073579"/>
      </top>
      <bottom style="thin">
        <color indexed="64"/>
      </bottom>
      <diagonal/>
    </border>
    <border>
      <left style="thin">
        <color auto="1"/>
      </left>
      <right style="thin">
        <color theme="0" tint="-0.34998626667073579"/>
      </right>
      <top style="hair">
        <color theme="0" tint="-0.34998626667073579"/>
      </top>
      <bottom style="hair">
        <color theme="0" tint="-0.34998626667073579"/>
      </bottom>
      <diagonal/>
    </border>
    <border>
      <left style="thin">
        <color auto="1"/>
      </left>
      <right style="thin">
        <color theme="0" tint="-0.34998626667073579"/>
      </right>
      <top style="hair">
        <color theme="0" tint="-0.34998626667073579"/>
      </top>
      <bottom style="thin">
        <color auto="1"/>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indexed="64"/>
      </right>
      <top/>
      <bottom style="hair">
        <color theme="0" tint="-0.34998626667073579"/>
      </bottom>
      <diagonal/>
    </border>
    <border>
      <left style="thin">
        <color auto="1"/>
      </left>
      <right style="thin">
        <color theme="0" tint="-0.34998626667073579"/>
      </right>
      <top style="thin">
        <color auto="1"/>
      </top>
      <bottom style="thin">
        <color theme="0" tint="-0.34998626667073579"/>
      </bottom>
      <diagonal/>
    </border>
    <border>
      <left style="thin">
        <color theme="0" tint="-0.34998626667073579"/>
      </left>
      <right style="thin">
        <color theme="0" tint="-0.34998626667073579"/>
      </right>
      <top style="thin">
        <color auto="1"/>
      </top>
      <bottom style="thin">
        <color theme="0" tint="-0.34998626667073579"/>
      </bottom>
      <diagonal/>
    </border>
    <border>
      <left/>
      <right style="thin">
        <color theme="0" tint="-0.34998626667073579"/>
      </right>
      <top style="thin">
        <color auto="1"/>
      </top>
      <bottom style="thin">
        <color theme="0" tint="-0.34998626667073579"/>
      </bottom>
      <diagonal/>
    </border>
    <border>
      <left/>
      <right style="thin">
        <color theme="0" tint="-0.34998626667073579"/>
      </right>
      <top/>
      <bottom style="hair">
        <color theme="0" tint="-0.34998626667073579"/>
      </bottom>
      <diagonal/>
    </border>
    <border>
      <left/>
      <right style="thin">
        <color theme="0" tint="-0.34998626667073579"/>
      </right>
      <top style="hair">
        <color theme="0" tint="-0.34998626667073579"/>
      </top>
      <bottom style="thin">
        <color indexed="64"/>
      </bottom>
      <diagonal/>
    </border>
    <border>
      <left/>
      <right style="thin">
        <color theme="0" tint="-0.34998626667073579"/>
      </right>
      <top style="hair">
        <color theme="0" tint="-0.34998626667073579"/>
      </top>
      <bottom/>
      <diagonal/>
    </border>
    <border>
      <left style="thin">
        <color theme="0" tint="-0.34998626667073579"/>
      </left>
      <right style="thin">
        <color theme="0" tint="-0.34998626667073579"/>
      </right>
      <top style="hair">
        <color theme="0" tint="-0.34998626667073579"/>
      </top>
      <bottom/>
      <diagonal/>
    </border>
    <border>
      <left style="thin">
        <color theme="0" tint="-0.34998626667073579"/>
      </left>
      <right style="thin">
        <color indexed="64"/>
      </right>
      <top style="hair">
        <color theme="0" tint="-0.34998626667073579"/>
      </top>
      <bottom/>
      <diagonal/>
    </border>
    <border>
      <left style="thin">
        <color indexed="64"/>
      </left>
      <right style="thin">
        <color theme="0" tint="-0.34998626667073579"/>
      </right>
      <top style="thin">
        <color theme="0" tint="-0.34998626667073579"/>
      </top>
      <bottom style="hair">
        <color theme="0" tint="-0.34998626667073579"/>
      </bottom>
      <diagonal/>
    </border>
    <border>
      <left style="thin">
        <color theme="0" tint="-0.34998626667073579"/>
      </left>
      <right style="thin">
        <color indexed="64"/>
      </right>
      <top style="thin">
        <color theme="0" tint="-0.34998626667073579"/>
      </top>
      <bottom style="hair">
        <color theme="0" tint="-0.34998626667073579"/>
      </bottom>
      <diagonal/>
    </border>
    <border>
      <left style="thin">
        <color indexed="64"/>
      </left>
      <right style="thin">
        <color theme="0" tint="-0.34998626667073579"/>
      </right>
      <top style="hair">
        <color theme="0" tint="-0.34998626667073579"/>
      </top>
      <bottom style="thin">
        <color theme="0" tint="-0.34998626667073579"/>
      </bottom>
      <diagonal/>
    </border>
    <border>
      <left style="thin">
        <color theme="0" tint="-0.34998626667073579"/>
      </left>
      <right style="thin">
        <color indexed="64"/>
      </right>
      <top style="hair">
        <color theme="0" tint="-0.34998626667073579"/>
      </top>
      <bottom style="thin">
        <color theme="0" tint="-0.34998626667073579"/>
      </bottom>
      <diagonal/>
    </border>
    <border>
      <left style="thin">
        <color theme="6"/>
      </left>
      <right style="thin">
        <color auto="1"/>
      </right>
      <top style="thin">
        <color theme="6"/>
      </top>
      <bottom style="hair">
        <color theme="6"/>
      </bottom>
      <diagonal/>
    </border>
    <border>
      <left style="thin">
        <color theme="6"/>
      </left>
      <right style="thin">
        <color auto="1"/>
      </right>
      <top style="hair">
        <color theme="6"/>
      </top>
      <bottom style="hair">
        <color theme="6"/>
      </bottom>
      <diagonal/>
    </border>
    <border>
      <left style="thin">
        <color theme="6"/>
      </left>
      <right style="thin">
        <color auto="1"/>
      </right>
      <top style="hair">
        <color theme="6"/>
      </top>
      <bottom style="thin">
        <color theme="6"/>
      </bottom>
      <diagonal/>
    </border>
    <border>
      <left style="thin">
        <color theme="6"/>
      </left>
      <right/>
      <top style="thin">
        <color theme="0" tint="-0.34998626667073579"/>
      </top>
      <bottom style="hair">
        <color theme="0" tint="-0.34998626667073579"/>
      </bottom>
      <diagonal/>
    </border>
    <border>
      <left style="thin">
        <color theme="6"/>
      </left>
      <right/>
      <top style="hair">
        <color theme="0" tint="-0.34998626667073579"/>
      </top>
      <bottom style="hair">
        <color theme="0" tint="-0.34998626667073579"/>
      </bottom>
      <diagonal/>
    </border>
    <border>
      <left style="thin">
        <color theme="6"/>
      </left>
      <right/>
      <top style="hair">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hair">
        <color theme="0" tint="-0.34998626667073579"/>
      </top>
      <bottom/>
      <diagonal/>
    </border>
    <border>
      <left style="thin">
        <color theme="0" tint="-0.34998626667073579"/>
      </left>
      <right/>
      <top/>
      <bottom/>
      <diagonal/>
    </border>
    <border>
      <left style="thin">
        <color auto="1"/>
      </left>
      <right style="thin">
        <color theme="0" tint="-0.34998626667073579"/>
      </right>
      <top style="hair">
        <color theme="0" tint="-0.34998626667073579"/>
      </top>
      <bottom/>
      <diagonal/>
    </border>
    <border>
      <left style="thin">
        <color auto="1"/>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bottom/>
      <diagonal/>
    </border>
    <border>
      <left/>
      <right style="hair">
        <color theme="0" tint="-0.34998626667073579"/>
      </right>
      <top style="hair">
        <color theme="0" tint="-0.34998626667073579"/>
      </top>
      <bottom style="hair">
        <color theme="0" tint="-0.34998626667073579"/>
      </bottom>
      <diagonal/>
    </border>
    <border>
      <left style="medium">
        <color indexed="64"/>
      </left>
      <right style="thin">
        <color indexed="64"/>
      </right>
      <top/>
      <bottom style="hair">
        <color theme="0" tint="-0.34998626667073579"/>
      </bottom>
      <diagonal/>
    </border>
    <border>
      <left style="thin">
        <color indexed="64"/>
      </left>
      <right style="medium">
        <color indexed="64"/>
      </right>
      <top/>
      <bottom style="hair">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hair">
        <color theme="0" tint="-0.34998626667073579"/>
      </right>
      <top style="hair">
        <color theme="0" tint="-0.34998626667073579"/>
      </top>
      <bottom style="thin">
        <color theme="0" tint="-0.34998626667073579"/>
      </bottom>
      <diagonal/>
    </border>
    <border>
      <left/>
      <right style="hair">
        <color theme="0" tint="-0.34998626667073579"/>
      </right>
      <top/>
      <bottom style="hair">
        <color theme="0" tint="-0.34998626667073579"/>
      </bottom>
      <diagonal/>
    </border>
    <border>
      <left style="thin">
        <color auto="1"/>
      </left>
      <right style="thin">
        <color auto="1"/>
      </right>
      <top style="hair">
        <color theme="0" tint="-0.499984740745262"/>
      </top>
      <bottom style="thin">
        <color theme="0" tint="-0.499984740745262"/>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15" fillId="0" borderId="0"/>
    <xf numFmtId="9" fontId="1" fillId="0" borderId="0" applyFont="0" applyFill="0" applyBorder="0" applyAlignment="0" applyProtection="0"/>
    <xf numFmtId="0" fontId="39" fillId="0" borderId="0" applyNumberFormat="0" applyFill="0" applyBorder="0" applyAlignment="0" applyProtection="0"/>
    <xf numFmtId="0" fontId="1" fillId="0" borderId="0"/>
    <xf numFmtId="0" fontId="48" fillId="0" borderId="0" applyNumberFormat="0" applyFill="0" applyBorder="0" applyAlignment="0" applyProtection="0"/>
    <xf numFmtId="44" fontId="49" fillId="0" borderId="0"/>
  </cellStyleXfs>
  <cellXfs count="1201">
    <xf numFmtId="0" fontId="0" fillId="0" borderId="0" xfId="0"/>
    <xf numFmtId="2" fontId="0" fillId="0" borderId="0" xfId="0" applyNumberFormat="1"/>
    <xf numFmtId="44" fontId="0" fillId="0" borderId="0" xfId="1" applyFont="1"/>
    <xf numFmtId="44" fontId="0" fillId="0" borderId="0" xfId="0" applyNumberFormat="1"/>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18" xfId="0" applyBorder="1" applyAlignment="1">
      <alignment vertical="center"/>
    </xf>
    <xf numFmtId="0" fontId="0" fillId="2" borderId="0" xfId="0" applyFill="1" applyAlignment="1">
      <alignment vertical="center"/>
    </xf>
    <xf numFmtId="0" fontId="6" fillId="0" borderId="0" xfId="0" applyFont="1" applyAlignment="1">
      <alignment vertical="center"/>
    </xf>
    <xf numFmtId="0" fontId="0" fillId="0" borderId="1" xfId="0" applyBorder="1" applyAlignment="1">
      <alignment vertical="center"/>
    </xf>
    <xf numFmtId="168" fontId="0" fillId="0" borderId="9" xfId="0" applyNumberFormat="1" applyBorder="1" applyAlignment="1">
      <alignment horizontal="center" vertical="center"/>
    </xf>
    <xf numFmtId="0" fontId="0" fillId="4" borderId="22" xfId="0" applyFill="1" applyBorder="1" applyAlignment="1">
      <alignment horizontal="center" vertical="center"/>
    </xf>
    <xf numFmtId="0" fontId="0" fillId="0" borderId="21" xfId="0" applyBorder="1" applyAlignment="1">
      <alignment vertical="center"/>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4" borderId="28" xfId="0" applyFill="1" applyBorder="1" applyAlignment="1">
      <alignment horizontal="center" vertical="center"/>
    </xf>
    <xf numFmtId="0" fontId="0" fillId="4" borderId="29" xfId="0" applyFill="1" applyBorder="1" applyAlignment="1">
      <alignment horizontal="center" vertical="center"/>
    </xf>
    <xf numFmtId="0" fontId="0" fillId="4" borderId="34" xfId="0" applyFill="1" applyBorder="1" applyAlignment="1">
      <alignment horizontal="center" vertical="center"/>
    </xf>
    <xf numFmtId="0" fontId="0" fillId="4" borderId="35" xfId="0" applyFill="1" applyBorder="1" applyAlignment="1">
      <alignment horizontal="center" vertical="center"/>
    </xf>
    <xf numFmtId="0" fontId="12" fillId="0" borderId="0" xfId="0" applyFont="1"/>
    <xf numFmtId="0" fontId="2" fillId="0" borderId="0" xfId="0" applyFont="1" applyAlignment="1">
      <alignment vertical="center"/>
    </xf>
    <xf numFmtId="0" fontId="0" fillId="3" borderId="0" xfId="0" applyFill="1" applyAlignment="1">
      <alignment vertical="center"/>
    </xf>
    <xf numFmtId="0" fontId="6" fillId="0" borderId="0" xfId="0" applyFont="1" applyAlignment="1">
      <alignment horizontal="center" vertical="center"/>
    </xf>
    <xf numFmtId="0" fontId="6" fillId="0" borderId="0" xfId="0" quotePrefix="1" applyFont="1" applyAlignment="1">
      <alignment vertical="center"/>
    </xf>
    <xf numFmtId="0" fontId="7" fillId="0" borderId="0" xfId="0" applyFont="1" applyAlignment="1">
      <alignment horizontal="center" vertical="center"/>
    </xf>
    <xf numFmtId="0" fontId="0" fillId="0" borderId="0" xfId="0" quotePrefix="1" applyAlignment="1">
      <alignment vertical="center"/>
    </xf>
    <xf numFmtId="0" fontId="0" fillId="4" borderId="38" xfId="0" applyFill="1" applyBorder="1" applyAlignment="1">
      <alignment horizontal="center" vertical="center"/>
    </xf>
    <xf numFmtId="0" fontId="0" fillId="4" borderId="39" xfId="0" applyFill="1" applyBorder="1" applyAlignment="1">
      <alignment horizontal="center" vertical="center"/>
    </xf>
    <xf numFmtId="0" fontId="0" fillId="4" borderId="37" xfId="0" applyFill="1" applyBorder="1" applyAlignment="1">
      <alignment horizontal="center" vertical="center"/>
    </xf>
    <xf numFmtId="0" fontId="0" fillId="3" borderId="0" xfId="0" applyFill="1" applyAlignment="1">
      <alignment horizontal="center" vertical="center"/>
    </xf>
    <xf numFmtId="0" fontId="3" fillId="3" borderId="0" xfId="0" applyFont="1" applyFill="1" applyAlignment="1">
      <alignment vertical="center"/>
    </xf>
    <xf numFmtId="0" fontId="0" fillId="2" borderId="0" xfId="0" applyFill="1" applyAlignment="1">
      <alignment horizontal="center" vertical="center"/>
    </xf>
    <xf numFmtId="0" fontId="0" fillId="0" borderId="23" xfId="0" applyBorder="1" applyAlignment="1">
      <alignment vertical="center"/>
    </xf>
    <xf numFmtId="0" fontId="0" fillId="0" borderId="26" xfId="0" applyBorder="1" applyAlignment="1">
      <alignment vertical="center"/>
    </xf>
    <xf numFmtId="0" fontId="0" fillId="0" borderId="28" xfId="0" applyBorder="1" applyAlignment="1">
      <alignment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38" xfId="0" applyBorder="1" applyAlignment="1">
      <alignment horizontal="center" vertical="center"/>
    </xf>
    <xf numFmtId="0" fontId="0" fillId="4" borderId="48" xfId="0" applyFill="1" applyBorder="1" applyAlignment="1">
      <alignment horizontal="center" vertical="center"/>
    </xf>
    <xf numFmtId="168" fontId="0" fillId="0" borderId="0" xfId="0" applyNumberFormat="1"/>
    <xf numFmtId="1" fontId="0" fillId="0" borderId="0" xfId="0" applyNumberFormat="1"/>
    <xf numFmtId="0" fontId="14" fillId="0" borderId="0" xfId="0" applyFont="1"/>
    <xf numFmtId="1" fontId="0" fillId="4" borderId="38" xfId="2" applyNumberFormat="1" applyFont="1" applyFill="1" applyBorder="1" applyAlignment="1">
      <alignment horizontal="center" vertical="center"/>
    </xf>
    <xf numFmtId="44" fontId="0" fillId="0" borderId="0" xfId="1" applyFont="1" applyAlignment="1">
      <alignment vertical="center"/>
    </xf>
    <xf numFmtId="2" fontId="0" fillId="0" borderId="0" xfId="1" applyNumberFormat="1" applyFont="1" applyAlignment="1">
      <alignment vertical="center"/>
    </xf>
    <xf numFmtId="44" fontId="0" fillId="0" borderId="4" xfId="1" applyFont="1" applyBorder="1" applyAlignment="1">
      <alignment vertical="center"/>
    </xf>
    <xf numFmtId="44" fontId="0" fillId="0" borderId="0" xfId="1" applyFont="1" applyAlignment="1">
      <alignment horizontal="center" vertical="center"/>
    </xf>
    <xf numFmtId="44" fontId="0" fillId="0" borderId="4" xfId="1" applyFont="1" applyBorder="1" applyAlignment="1">
      <alignment horizontal="center" vertical="center"/>
    </xf>
    <xf numFmtId="0" fontId="0" fillId="0" borderId="0" xfId="1" applyNumberFormat="1"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44" fontId="3" fillId="0" borderId="0" xfId="0" applyNumberFormat="1" applyFont="1" applyAlignment="1">
      <alignment vertical="center"/>
    </xf>
    <xf numFmtId="2" fontId="3" fillId="0" borderId="0" xfId="0" applyNumberFormat="1" applyFont="1" applyAlignment="1">
      <alignment vertical="center"/>
    </xf>
    <xf numFmtId="0" fontId="3" fillId="0" borderId="2" xfId="0" applyFont="1" applyBorder="1" applyAlignment="1">
      <alignment vertical="center"/>
    </xf>
    <xf numFmtId="2" fontId="3" fillId="0" borderId="0" xfId="0" applyNumberFormat="1" applyFont="1" applyAlignment="1">
      <alignment horizontal="center" vertical="center"/>
    </xf>
    <xf numFmtId="167" fontId="3" fillId="0" borderId="0" xfId="0" applyNumberFormat="1" applyFont="1" applyAlignment="1">
      <alignment vertical="center"/>
    </xf>
    <xf numFmtId="2" fontId="3" fillId="0" borderId="1" xfId="0" applyNumberFormat="1" applyFont="1" applyBorder="1" applyAlignment="1">
      <alignment vertical="center"/>
    </xf>
    <xf numFmtId="9" fontId="0" fillId="0" borderId="0" xfId="1" applyNumberFormat="1" applyFont="1" applyAlignment="1">
      <alignment vertical="center"/>
    </xf>
    <xf numFmtId="0" fontId="17" fillId="0" borderId="0" xfId="0" applyFont="1" applyAlignment="1">
      <alignment vertical="center"/>
    </xf>
    <xf numFmtId="0" fontId="0" fillId="0" borderId="48" xfId="0" applyBorder="1" applyAlignment="1">
      <alignment horizontal="center" vertical="center"/>
    </xf>
    <xf numFmtId="0" fontId="0" fillId="0" borderId="49" xfId="0" applyBorder="1" applyAlignment="1">
      <alignment horizontal="center" vertical="center"/>
    </xf>
    <xf numFmtId="1" fontId="0" fillId="4" borderId="38" xfId="0" applyNumberFormat="1" applyFill="1" applyBorder="1" applyAlignment="1">
      <alignment horizontal="center" vertical="center"/>
    </xf>
    <xf numFmtId="0" fontId="0" fillId="9" borderId="38" xfId="0" applyFill="1" applyBorder="1" applyAlignment="1">
      <alignment horizontal="center" vertical="center"/>
    </xf>
    <xf numFmtId="1" fontId="0" fillId="0" borderId="50" xfId="0" applyNumberFormat="1" applyBorder="1" applyAlignment="1">
      <alignment horizontal="center" vertical="center"/>
    </xf>
    <xf numFmtId="1" fontId="0" fillId="0" borderId="51" xfId="0" applyNumberFormat="1" applyBorder="1" applyAlignment="1">
      <alignment horizontal="center" vertical="center"/>
    </xf>
    <xf numFmtId="1" fontId="0" fillId="0" borderId="38" xfId="0" applyNumberFormat="1" applyBorder="1" applyAlignment="1">
      <alignment horizontal="center" vertical="center"/>
    </xf>
    <xf numFmtId="0" fontId="3" fillId="4" borderId="38" xfId="0" applyFont="1" applyFill="1" applyBorder="1" applyAlignment="1">
      <alignment horizontal="center" vertical="center"/>
    </xf>
    <xf numFmtId="0" fontId="3" fillId="4" borderId="39" xfId="0" applyFont="1" applyFill="1" applyBorder="1" applyAlignment="1">
      <alignment horizontal="center" vertical="center"/>
    </xf>
    <xf numFmtId="0" fontId="17" fillId="0" borderId="0" xfId="0" applyFont="1" applyAlignment="1">
      <alignment horizontal="center" vertical="center"/>
    </xf>
    <xf numFmtId="0" fontId="18" fillId="0" borderId="0" xfId="0" applyFont="1" applyAlignment="1">
      <alignment vertical="center"/>
    </xf>
    <xf numFmtId="0" fontId="19" fillId="0" borderId="0" xfId="0" applyFont="1" applyAlignment="1">
      <alignment vertical="center"/>
    </xf>
    <xf numFmtId="0" fontId="3" fillId="0" borderId="1" xfId="0" applyFont="1" applyBorder="1" applyAlignment="1">
      <alignment vertical="center"/>
    </xf>
    <xf numFmtId="0" fontId="5" fillId="0" borderId="0" xfId="0" applyFont="1" applyAlignment="1">
      <alignment vertical="center"/>
    </xf>
    <xf numFmtId="44" fontId="5" fillId="0" borderId="0" xfId="1" applyFont="1" applyAlignment="1">
      <alignment vertical="center"/>
    </xf>
    <xf numFmtId="0" fontId="3" fillId="9" borderId="0" xfId="0" applyFont="1" applyFill="1" applyAlignment="1">
      <alignment vertical="center"/>
    </xf>
    <xf numFmtId="0" fontId="3" fillId="0" borderId="0" xfId="0" applyFont="1" applyAlignment="1">
      <alignment horizontal="right" vertical="center"/>
    </xf>
    <xf numFmtId="2" fontId="3" fillId="0" borderId="2" xfId="0" applyNumberFormat="1" applyFont="1" applyBorder="1" applyAlignment="1">
      <alignment vertical="center"/>
    </xf>
    <xf numFmtId="0" fontId="3" fillId="0" borderId="0" xfId="0" applyFont="1"/>
    <xf numFmtId="11" fontId="27" fillId="0" borderId="0" xfId="0" applyNumberFormat="1" applyFont="1"/>
    <xf numFmtId="44" fontId="0" fillId="0" borderId="1" xfId="1" applyFont="1" applyBorder="1" applyAlignment="1">
      <alignment vertical="center"/>
    </xf>
    <xf numFmtId="2" fontId="0" fillId="0" borderId="1" xfId="1" applyNumberFormat="1" applyFont="1" applyBorder="1" applyAlignment="1">
      <alignment vertical="center"/>
    </xf>
    <xf numFmtId="44" fontId="0" fillId="12" borderId="58" xfId="1" applyFont="1" applyFill="1" applyBorder="1" applyAlignment="1">
      <alignment horizontal="center" vertical="center"/>
    </xf>
    <xf numFmtId="44" fontId="0" fillId="3" borderId="64" xfId="1" applyFont="1" applyFill="1" applyBorder="1" applyAlignment="1">
      <alignment horizontal="center" vertical="center"/>
    </xf>
    <xf numFmtId="0" fontId="0" fillId="11" borderId="58" xfId="1" applyNumberFormat="1" applyFont="1" applyFill="1" applyBorder="1" applyAlignment="1">
      <alignment horizontal="left" vertical="center"/>
    </xf>
    <xf numFmtId="0" fontId="3" fillId="11" borderId="58" xfId="1" applyNumberFormat="1" applyFont="1" applyFill="1" applyBorder="1" applyAlignment="1">
      <alignment horizontal="center" vertical="center"/>
    </xf>
    <xf numFmtId="44" fontId="3" fillId="11" borderId="58" xfId="0" applyNumberFormat="1" applyFont="1" applyFill="1" applyBorder="1" applyAlignment="1">
      <alignment vertical="center"/>
    </xf>
    <xf numFmtId="2" fontId="3" fillId="11" borderId="57" xfId="0" applyNumberFormat="1" applyFont="1" applyFill="1" applyBorder="1" applyAlignment="1">
      <alignment vertical="center"/>
    </xf>
    <xf numFmtId="0" fontId="0" fillId="11" borderId="58" xfId="1" applyNumberFormat="1" applyFont="1" applyFill="1" applyBorder="1" applyAlignment="1">
      <alignment vertical="center"/>
    </xf>
    <xf numFmtId="164" fontId="0" fillId="11" borderId="58" xfId="1" applyNumberFormat="1" applyFont="1" applyFill="1" applyBorder="1" applyAlignment="1">
      <alignment vertical="center"/>
    </xf>
    <xf numFmtId="2" fontId="3" fillId="11" borderId="58" xfId="0" applyNumberFormat="1" applyFont="1" applyFill="1" applyBorder="1" applyAlignment="1">
      <alignment vertical="center"/>
    </xf>
    <xf numFmtId="0" fontId="0" fillId="11" borderId="58" xfId="1" applyNumberFormat="1" applyFont="1" applyFill="1" applyBorder="1" applyAlignment="1">
      <alignment horizontal="center" vertical="center"/>
    </xf>
    <xf numFmtId="0" fontId="3" fillId="13" borderId="0" xfId="0" applyFont="1" applyFill="1" applyAlignment="1">
      <alignment vertical="center"/>
    </xf>
    <xf numFmtId="0" fontId="3" fillId="13" borderId="0" xfId="0" applyFont="1" applyFill="1" applyAlignment="1">
      <alignment horizontal="center" vertical="center"/>
    </xf>
    <xf numFmtId="0" fontId="3" fillId="13" borderId="1" xfId="0" applyFont="1" applyFill="1" applyBorder="1" applyAlignment="1">
      <alignment horizontal="center" vertical="center"/>
    </xf>
    <xf numFmtId="0" fontId="3" fillId="13" borderId="2" xfId="0" applyFont="1" applyFill="1" applyBorder="1" applyAlignment="1">
      <alignment horizontal="center" vertical="center"/>
    </xf>
    <xf numFmtId="0" fontId="0" fillId="11" borderId="61" xfId="1" applyNumberFormat="1" applyFont="1" applyFill="1" applyBorder="1" applyAlignment="1">
      <alignment vertical="center"/>
    </xf>
    <xf numFmtId="0" fontId="3" fillId="11" borderId="61" xfId="1" applyNumberFormat="1" applyFont="1" applyFill="1" applyBorder="1" applyAlignment="1">
      <alignment horizontal="center" vertical="center"/>
    </xf>
    <xf numFmtId="44" fontId="3" fillId="11" borderId="61" xfId="0" applyNumberFormat="1" applyFont="1" applyFill="1" applyBorder="1" applyAlignment="1">
      <alignment vertical="center"/>
    </xf>
    <xf numFmtId="2" fontId="3" fillId="11" borderId="63" xfId="0" applyNumberFormat="1" applyFont="1" applyFill="1" applyBorder="1" applyAlignment="1">
      <alignment vertical="center"/>
    </xf>
    <xf numFmtId="0" fontId="0" fillId="11" borderId="66" xfId="1" applyNumberFormat="1" applyFont="1" applyFill="1" applyBorder="1" applyAlignment="1">
      <alignment horizontal="left" vertical="center"/>
    </xf>
    <xf numFmtId="0" fontId="3" fillId="11" borderId="66" xfId="1" applyNumberFormat="1" applyFont="1" applyFill="1" applyBorder="1" applyAlignment="1">
      <alignment horizontal="center" vertical="center"/>
    </xf>
    <xf numFmtId="44" fontId="3" fillId="11" borderId="66" xfId="0" applyNumberFormat="1" applyFont="1" applyFill="1" applyBorder="1" applyAlignment="1">
      <alignment vertical="center"/>
    </xf>
    <xf numFmtId="2" fontId="3" fillId="11" borderId="68" xfId="0" applyNumberFormat="1" applyFont="1" applyFill="1" applyBorder="1" applyAlignment="1">
      <alignment vertical="center"/>
    </xf>
    <xf numFmtId="0" fontId="0" fillId="11" borderId="69" xfId="1" applyNumberFormat="1" applyFont="1" applyFill="1" applyBorder="1" applyAlignment="1">
      <alignment horizontal="left" vertical="center"/>
    </xf>
    <xf numFmtId="0" fontId="3" fillId="11" borderId="69" xfId="1" applyNumberFormat="1" applyFont="1" applyFill="1" applyBorder="1" applyAlignment="1">
      <alignment horizontal="center" vertical="center"/>
    </xf>
    <xf numFmtId="44" fontId="3" fillId="11" borderId="69" xfId="0" applyNumberFormat="1" applyFont="1" applyFill="1" applyBorder="1" applyAlignment="1">
      <alignment vertical="center"/>
    </xf>
    <xf numFmtId="2" fontId="3" fillId="11" borderId="71" xfId="0" applyNumberFormat="1" applyFont="1" applyFill="1" applyBorder="1" applyAlignment="1">
      <alignment vertical="center"/>
    </xf>
    <xf numFmtId="0" fontId="0" fillId="11" borderId="66" xfId="1" applyNumberFormat="1" applyFont="1" applyFill="1" applyBorder="1" applyAlignment="1">
      <alignment vertical="center"/>
    </xf>
    <xf numFmtId="0" fontId="0" fillId="11" borderId="69" xfId="1" applyNumberFormat="1" applyFont="1" applyFill="1" applyBorder="1" applyAlignment="1">
      <alignment vertical="center"/>
    </xf>
    <xf numFmtId="0" fontId="0" fillId="11" borderId="72" xfId="1" applyNumberFormat="1" applyFont="1" applyFill="1" applyBorder="1" applyAlignment="1">
      <alignment vertical="center"/>
    </xf>
    <xf numFmtId="0" fontId="3" fillId="11" borderId="72" xfId="1" applyNumberFormat="1" applyFont="1" applyFill="1" applyBorder="1" applyAlignment="1">
      <alignment horizontal="center" vertical="center"/>
    </xf>
    <xf numFmtId="44" fontId="3" fillId="11" borderId="72" xfId="0" applyNumberFormat="1" applyFont="1" applyFill="1" applyBorder="1" applyAlignment="1">
      <alignment vertical="center"/>
    </xf>
    <xf numFmtId="2" fontId="3" fillId="11" borderId="74" xfId="0" applyNumberFormat="1" applyFont="1" applyFill="1" applyBorder="1" applyAlignment="1">
      <alignment vertical="center"/>
    </xf>
    <xf numFmtId="164" fontId="0" fillId="11" borderId="72" xfId="1" applyNumberFormat="1" applyFont="1" applyFill="1" applyBorder="1" applyAlignment="1">
      <alignment vertical="center"/>
    </xf>
    <xf numFmtId="0" fontId="3" fillId="11" borderId="55" xfId="0" applyFont="1" applyFill="1" applyBorder="1" applyAlignment="1">
      <alignment vertical="center"/>
    </xf>
    <xf numFmtId="0" fontId="3" fillId="11" borderId="55" xfId="0" applyFont="1" applyFill="1" applyBorder="1" applyAlignment="1">
      <alignment horizontal="center" vertical="center"/>
    </xf>
    <xf numFmtId="0" fontId="3" fillId="11" borderId="55" xfId="1" applyNumberFormat="1" applyFont="1" applyFill="1" applyBorder="1" applyAlignment="1">
      <alignment vertical="center"/>
    </xf>
    <xf numFmtId="0" fontId="3" fillId="11" borderId="55" xfId="1" applyNumberFormat="1" applyFont="1" applyFill="1" applyBorder="1" applyAlignment="1">
      <alignment horizontal="center" vertical="center"/>
    </xf>
    <xf numFmtId="2" fontId="3" fillId="11" borderId="55" xfId="0" applyNumberFormat="1" applyFont="1" applyFill="1" applyBorder="1" applyAlignment="1">
      <alignment vertical="center"/>
    </xf>
    <xf numFmtId="2" fontId="3" fillId="11" borderId="56" xfId="0" applyNumberFormat="1" applyFont="1" applyFill="1" applyBorder="1" applyAlignment="1">
      <alignment horizontal="right" vertical="center"/>
    </xf>
    <xf numFmtId="44" fontId="3" fillId="11" borderId="55" xfId="0" applyNumberFormat="1" applyFont="1" applyFill="1" applyBorder="1" applyAlignment="1">
      <alignment vertical="center"/>
    </xf>
    <xf numFmtId="2" fontId="3" fillId="11" borderId="54" xfId="0" applyNumberFormat="1" applyFont="1" applyFill="1" applyBorder="1" applyAlignment="1">
      <alignment vertical="center"/>
    </xf>
    <xf numFmtId="164" fontId="0" fillId="11" borderId="66" xfId="1" applyNumberFormat="1" applyFont="1" applyFill="1" applyBorder="1" applyAlignment="1">
      <alignment vertical="center"/>
    </xf>
    <xf numFmtId="0" fontId="0" fillId="11" borderId="66" xfId="1" applyNumberFormat="1" applyFont="1" applyFill="1" applyBorder="1" applyAlignment="1">
      <alignment horizontal="center" vertical="center"/>
    </xf>
    <xf numFmtId="0" fontId="3" fillId="4" borderId="58" xfId="0" applyFont="1" applyFill="1" applyBorder="1" applyAlignment="1">
      <alignment horizontal="center" vertical="center"/>
    </xf>
    <xf numFmtId="0" fontId="3" fillId="4" borderId="72" xfId="0" applyFont="1" applyFill="1" applyBorder="1" applyAlignment="1">
      <alignment horizontal="center" vertical="center"/>
    </xf>
    <xf numFmtId="2" fontId="14" fillId="3" borderId="64" xfId="0" applyNumberFormat="1" applyFont="1" applyFill="1" applyBorder="1" applyAlignment="1">
      <alignment vertical="center"/>
    </xf>
    <xf numFmtId="0" fontId="14" fillId="3" borderId="64" xfId="0" applyFont="1" applyFill="1" applyBorder="1" applyAlignment="1">
      <alignment vertical="center"/>
    </xf>
    <xf numFmtId="44" fontId="0" fillId="4" borderId="69" xfId="1" applyFont="1" applyFill="1" applyBorder="1" applyAlignment="1">
      <alignment horizontal="center" vertical="center"/>
    </xf>
    <xf numFmtId="0" fontId="3" fillId="4" borderId="69" xfId="0" applyFont="1" applyFill="1" applyBorder="1" applyAlignment="1">
      <alignment horizontal="center" vertical="center"/>
    </xf>
    <xf numFmtId="44" fontId="0" fillId="12" borderId="66" xfId="1" applyFont="1" applyFill="1" applyBorder="1" applyAlignment="1">
      <alignment horizontal="center" vertical="center"/>
    </xf>
    <xf numFmtId="44" fontId="0" fillId="12" borderId="69" xfId="1" applyFont="1" applyFill="1" applyBorder="1" applyAlignment="1">
      <alignment horizontal="center" vertical="center"/>
    </xf>
    <xf numFmtId="0" fontId="3" fillId="4" borderId="61" xfId="0" applyFont="1" applyFill="1" applyBorder="1" applyAlignment="1">
      <alignment horizontal="center" vertical="center"/>
    </xf>
    <xf numFmtId="0" fontId="3" fillId="4" borderId="66" xfId="0" applyFont="1" applyFill="1" applyBorder="1" applyAlignment="1">
      <alignment horizontal="center" vertical="center"/>
    </xf>
    <xf numFmtId="0" fontId="3" fillId="4" borderId="0" xfId="0" applyFont="1" applyFill="1" applyAlignment="1">
      <alignment horizontal="center" vertical="center"/>
    </xf>
    <xf numFmtId="0" fontId="3" fillId="4" borderId="55" xfId="0" applyFont="1" applyFill="1" applyBorder="1" applyAlignment="1">
      <alignment horizontal="center" vertical="center"/>
    </xf>
    <xf numFmtId="0" fontId="3" fillId="0" borderId="0" xfId="0" applyFont="1" applyAlignment="1">
      <alignment horizontal="left" vertical="center"/>
    </xf>
    <xf numFmtId="0" fontId="0" fillId="11" borderId="61" xfId="1" applyNumberFormat="1" applyFont="1" applyFill="1" applyBorder="1" applyAlignment="1">
      <alignment horizontal="left" vertical="center"/>
    </xf>
    <xf numFmtId="0" fontId="0" fillId="11" borderId="55" xfId="1" applyNumberFormat="1" applyFont="1" applyFill="1" applyBorder="1" applyAlignment="1">
      <alignment horizontal="left" vertical="center"/>
    </xf>
    <xf numFmtId="0" fontId="0" fillId="11" borderId="72" xfId="1" applyNumberFormat="1" applyFont="1" applyFill="1" applyBorder="1" applyAlignment="1">
      <alignment horizontal="left" vertical="center"/>
    </xf>
    <xf numFmtId="0" fontId="28" fillId="0" borderId="0" xfId="0" applyFont="1" applyAlignment="1">
      <alignment vertical="center"/>
    </xf>
    <xf numFmtId="0" fontId="28" fillId="4" borderId="77" xfId="0" applyFont="1" applyFill="1" applyBorder="1" applyAlignment="1">
      <alignment vertical="center"/>
    </xf>
    <xf numFmtId="2" fontId="28" fillId="4" borderId="69" xfId="0" applyNumberFormat="1" applyFont="1" applyFill="1" applyBorder="1" applyAlignment="1">
      <alignment vertical="center"/>
    </xf>
    <xf numFmtId="0" fontId="28" fillId="4" borderId="69" xfId="0" applyFont="1" applyFill="1" applyBorder="1" applyAlignment="1">
      <alignment horizontal="center" vertical="center"/>
    </xf>
    <xf numFmtId="0" fontId="28" fillId="0" borderId="1" xfId="0" applyFont="1" applyBorder="1" applyAlignment="1">
      <alignment vertical="center"/>
    </xf>
    <xf numFmtId="0" fontId="28" fillId="4" borderId="78" xfId="0" applyFont="1" applyFill="1" applyBorder="1" applyAlignment="1">
      <alignment vertical="center"/>
    </xf>
    <xf numFmtId="0" fontId="28" fillId="4" borderId="61" xfId="0" applyFont="1" applyFill="1" applyBorder="1" applyAlignment="1">
      <alignment horizontal="center" vertical="center"/>
    </xf>
    <xf numFmtId="0" fontId="28" fillId="4" borderId="61" xfId="0" applyFont="1" applyFill="1" applyBorder="1" applyAlignment="1">
      <alignment vertical="center"/>
    </xf>
    <xf numFmtId="164" fontId="28" fillId="0" borderId="0" xfId="0" applyNumberFormat="1" applyFont="1" applyAlignment="1">
      <alignment vertical="center"/>
    </xf>
    <xf numFmtId="0" fontId="28" fillId="4" borderId="76" xfId="0" quotePrefix="1" applyFont="1" applyFill="1" applyBorder="1" applyAlignment="1">
      <alignment vertical="center"/>
    </xf>
    <xf numFmtId="0" fontId="28" fillId="4" borderId="58" xfId="0" applyFont="1" applyFill="1" applyBorder="1" applyAlignment="1">
      <alignment horizontal="center" vertical="center"/>
    </xf>
    <xf numFmtId="164" fontId="28" fillId="4" borderId="58" xfId="0" applyNumberFormat="1" applyFont="1" applyFill="1" applyBorder="1" applyAlignment="1">
      <alignment vertical="center"/>
    </xf>
    <xf numFmtId="2" fontId="28" fillId="0" borderId="0" xfId="0" applyNumberFormat="1" applyFont="1" applyAlignment="1">
      <alignment vertical="center"/>
    </xf>
    <xf numFmtId="0" fontId="28" fillId="4" borderId="76" xfId="0" applyFont="1" applyFill="1" applyBorder="1" applyAlignment="1">
      <alignment vertical="center"/>
    </xf>
    <xf numFmtId="0" fontId="28" fillId="4" borderId="79" xfId="0" applyFont="1" applyFill="1" applyBorder="1" applyAlignment="1">
      <alignment vertical="center"/>
    </xf>
    <xf numFmtId="0" fontId="28" fillId="4" borderId="72" xfId="0" applyFont="1" applyFill="1" applyBorder="1" applyAlignment="1">
      <alignment horizontal="center" vertical="center"/>
    </xf>
    <xf numFmtId="164" fontId="28" fillId="4" borderId="72" xfId="0" applyNumberFormat="1" applyFont="1" applyFill="1" applyBorder="1" applyAlignment="1">
      <alignment vertical="center"/>
    </xf>
    <xf numFmtId="0" fontId="28" fillId="4" borderId="80" xfId="0" applyFont="1" applyFill="1" applyBorder="1" applyAlignment="1">
      <alignment vertical="center"/>
    </xf>
    <xf numFmtId="164" fontId="28" fillId="4" borderId="55" xfId="0" applyNumberFormat="1" applyFont="1" applyFill="1" applyBorder="1" applyAlignment="1">
      <alignment vertical="center"/>
    </xf>
    <xf numFmtId="2" fontId="28" fillId="4" borderId="61" xfId="0" applyNumberFormat="1" applyFont="1" applyFill="1" applyBorder="1" applyAlignment="1">
      <alignment vertical="center"/>
    </xf>
    <xf numFmtId="0" fontId="28" fillId="4" borderId="58" xfId="0" applyFont="1" applyFill="1" applyBorder="1" applyAlignment="1">
      <alignment vertical="center"/>
    </xf>
    <xf numFmtId="2" fontId="28" fillId="4" borderId="72" xfId="0" applyNumberFormat="1" applyFont="1" applyFill="1" applyBorder="1" applyAlignment="1">
      <alignment vertical="center"/>
    </xf>
    <xf numFmtId="0" fontId="28" fillId="4" borderId="72" xfId="0" applyFont="1" applyFill="1" applyBorder="1" applyAlignment="1">
      <alignment vertical="center"/>
    </xf>
    <xf numFmtId="2" fontId="3" fillId="11" borderId="61" xfId="0" applyNumberFormat="1" applyFont="1" applyFill="1" applyBorder="1" applyAlignment="1">
      <alignment vertical="center"/>
    </xf>
    <xf numFmtId="2" fontId="3" fillId="11" borderId="72" xfId="0" applyNumberFormat="1" applyFont="1" applyFill="1" applyBorder="1" applyAlignment="1">
      <alignment vertical="center"/>
    </xf>
    <xf numFmtId="2" fontId="3" fillId="11" borderId="66" xfId="0" applyNumberFormat="1" applyFont="1" applyFill="1" applyBorder="1" applyAlignment="1">
      <alignment vertical="center"/>
    </xf>
    <xf numFmtId="0" fontId="3" fillId="4" borderId="82" xfId="0" applyFont="1" applyFill="1" applyBorder="1" applyAlignment="1">
      <alignment vertical="center"/>
    </xf>
    <xf numFmtId="0" fontId="3" fillId="4" borderId="83" xfId="0" applyFont="1" applyFill="1" applyBorder="1" applyAlignment="1">
      <alignment vertical="center"/>
    </xf>
    <xf numFmtId="0" fontId="3" fillId="4" borderId="80" xfId="0" applyFont="1" applyFill="1" applyBorder="1" applyAlignment="1">
      <alignment vertical="center"/>
    </xf>
    <xf numFmtId="2" fontId="3" fillId="4" borderId="55" xfId="0" applyNumberFormat="1" applyFont="1" applyFill="1" applyBorder="1" applyAlignment="1">
      <alignment vertical="center"/>
    </xf>
    <xf numFmtId="0" fontId="3" fillId="4" borderId="78" xfId="0" applyFont="1" applyFill="1" applyBorder="1" applyAlignment="1">
      <alignment vertical="center"/>
    </xf>
    <xf numFmtId="2" fontId="3" fillId="4" borderId="61" xfId="0" applyNumberFormat="1" applyFont="1" applyFill="1" applyBorder="1" applyAlignment="1">
      <alignment vertical="center"/>
    </xf>
    <xf numFmtId="0" fontId="3" fillId="4" borderId="61" xfId="0" applyFont="1" applyFill="1" applyBorder="1" applyAlignment="1">
      <alignment vertical="center"/>
    </xf>
    <xf numFmtId="0" fontId="3" fillId="4" borderId="76" xfId="0" applyFont="1" applyFill="1" applyBorder="1" applyAlignment="1">
      <alignment vertical="center"/>
    </xf>
    <xf numFmtId="164" fontId="3" fillId="4" borderId="58" xfId="0" applyNumberFormat="1" applyFont="1" applyFill="1" applyBorder="1" applyAlignment="1">
      <alignment vertical="center"/>
    </xf>
    <xf numFmtId="0" fontId="3" fillId="4" borderId="58" xfId="0" applyFont="1" applyFill="1" applyBorder="1" applyAlignment="1">
      <alignment vertical="center"/>
    </xf>
    <xf numFmtId="0" fontId="3" fillId="4" borderId="79" xfId="0" applyFont="1" applyFill="1" applyBorder="1" applyAlignment="1">
      <alignment vertical="center"/>
    </xf>
    <xf numFmtId="0" fontId="3" fillId="4" borderId="72" xfId="0" applyFont="1" applyFill="1" applyBorder="1" applyAlignment="1">
      <alignment vertical="center"/>
    </xf>
    <xf numFmtId="0" fontId="3" fillId="4" borderId="75" xfId="0" applyFont="1" applyFill="1" applyBorder="1" applyAlignment="1">
      <alignment vertical="center"/>
    </xf>
    <xf numFmtId="0" fontId="3" fillId="4" borderId="66" xfId="0" applyFont="1" applyFill="1" applyBorder="1" applyAlignment="1">
      <alignment vertical="center"/>
    </xf>
    <xf numFmtId="0" fontId="3" fillId="4" borderId="77" xfId="0" applyFont="1" applyFill="1" applyBorder="1" applyAlignment="1">
      <alignment vertical="center"/>
    </xf>
    <xf numFmtId="2" fontId="3" fillId="4" borderId="69" xfId="0" applyNumberFormat="1" applyFont="1" applyFill="1" applyBorder="1" applyAlignment="1">
      <alignment vertical="center"/>
    </xf>
    <xf numFmtId="0" fontId="3" fillId="4" borderId="76" xfId="0" quotePrefix="1" applyFont="1" applyFill="1" applyBorder="1" applyAlignment="1">
      <alignment vertical="center"/>
    </xf>
    <xf numFmtId="2" fontId="3" fillId="4" borderId="72" xfId="0" applyNumberFormat="1" applyFont="1" applyFill="1" applyBorder="1" applyAlignment="1">
      <alignment vertical="center"/>
    </xf>
    <xf numFmtId="164" fontId="3" fillId="4" borderId="66" xfId="0" applyNumberFormat="1" applyFont="1" applyFill="1" applyBorder="1" applyAlignment="1">
      <alignment vertical="center"/>
    </xf>
    <xf numFmtId="0" fontId="3" fillId="4" borderId="69" xfId="0" applyFont="1" applyFill="1" applyBorder="1" applyAlignment="1">
      <alignment vertical="center"/>
    </xf>
    <xf numFmtId="164" fontId="3" fillId="4" borderId="72" xfId="0" applyNumberFormat="1" applyFont="1" applyFill="1" applyBorder="1" applyAlignment="1">
      <alignment vertical="center"/>
    </xf>
    <xf numFmtId="164" fontId="3" fillId="4" borderId="55" xfId="0" applyNumberFormat="1" applyFont="1" applyFill="1" applyBorder="1" applyAlignment="1">
      <alignment vertical="center"/>
    </xf>
    <xf numFmtId="164" fontId="3" fillId="4" borderId="69" xfId="0" applyNumberFormat="1" applyFont="1" applyFill="1" applyBorder="1" applyAlignment="1">
      <alignment vertical="center"/>
    </xf>
    <xf numFmtId="0" fontId="3" fillId="4" borderId="81" xfId="0" applyFont="1" applyFill="1" applyBorder="1" applyAlignment="1">
      <alignment vertical="center"/>
    </xf>
    <xf numFmtId="164" fontId="3" fillId="4" borderId="0" xfId="0" applyNumberFormat="1" applyFont="1" applyFill="1" applyAlignment="1">
      <alignment horizontal="center" vertical="center"/>
    </xf>
    <xf numFmtId="164" fontId="3" fillId="4" borderId="0" xfId="0" applyNumberFormat="1" applyFont="1" applyFill="1" applyAlignment="1">
      <alignment vertical="center"/>
    </xf>
    <xf numFmtId="0" fontId="28" fillId="4" borderId="75" xfId="0" applyFont="1" applyFill="1" applyBorder="1" applyAlignment="1">
      <alignment vertical="center"/>
    </xf>
    <xf numFmtId="0" fontId="28" fillId="4" borderId="66" xfId="0" applyFont="1" applyFill="1" applyBorder="1" applyAlignment="1">
      <alignment vertical="center"/>
    </xf>
    <xf numFmtId="0" fontId="28" fillId="4" borderId="66" xfId="0" applyFont="1" applyFill="1" applyBorder="1" applyAlignment="1">
      <alignment horizontal="center" vertical="center"/>
    </xf>
    <xf numFmtId="2" fontId="28" fillId="4" borderId="58" xfId="0" applyNumberFormat="1" applyFont="1" applyFill="1" applyBorder="1" applyAlignment="1">
      <alignment vertical="center"/>
    </xf>
    <xf numFmtId="164" fontId="3" fillId="4" borderId="66" xfId="0" applyNumberFormat="1" applyFont="1" applyFill="1" applyBorder="1" applyAlignment="1">
      <alignment horizontal="center" vertical="center"/>
    </xf>
    <xf numFmtId="164" fontId="28" fillId="4" borderId="66" xfId="0" applyNumberFormat="1" applyFont="1" applyFill="1" applyBorder="1" applyAlignment="1">
      <alignment vertical="center"/>
    </xf>
    <xf numFmtId="0" fontId="28" fillId="4" borderId="69" xfId="0" applyFont="1" applyFill="1" applyBorder="1" applyAlignment="1">
      <alignment vertical="center"/>
    </xf>
    <xf numFmtId="0" fontId="3" fillId="0" borderId="53" xfId="0" applyFont="1" applyBorder="1" applyAlignment="1">
      <alignment horizontal="center" vertical="center"/>
    </xf>
    <xf numFmtId="166" fontId="0" fillId="0" borderId="0" xfId="0" applyNumberFormat="1" applyAlignment="1">
      <alignment vertical="center"/>
    </xf>
    <xf numFmtId="0" fontId="0" fillId="0" borderId="53" xfId="0" applyBorder="1" applyAlignment="1">
      <alignment horizontal="center" vertical="center" wrapText="1"/>
    </xf>
    <xf numFmtId="2" fontId="0" fillId="0" borderId="0" xfId="0" applyNumberFormat="1" applyAlignment="1">
      <alignment horizontal="center"/>
    </xf>
    <xf numFmtId="0" fontId="0" fillId="11" borderId="64" xfId="1" applyNumberFormat="1" applyFont="1" applyFill="1" applyBorder="1" applyAlignment="1">
      <alignment horizontal="left" vertical="center"/>
    </xf>
    <xf numFmtId="0" fontId="3" fillId="11" borderId="64" xfId="1" applyNumberFormat="1" applyFont="1" applyFill="1" applyBorder="1" applyAlignment="1">
      <alignment horizontal="center" vertical="center"/>
    </xf>
    <xf numFmtId="44" fontId="3" fillId="11" borderId="64" xfId="0" applyNumberFormat="1" applyFont="1" applyFill="1" applyBorder="1" applyAlignment="1">
      <alignment vertical="center"/>
    </xf>
    <xf numFmtId="2" fontId="3" fillId="11" borderId="60" xfId="0" applyNumberFormat="1" applyFont="1" applyFill="1" applyBorder="1" applyAlignment="1">
      <alignment vertical="center"/>
    </xf>
    <xf numFmtId="0" fontId="30" fillId="0" borderId="0" xfId="0" applyFont="1" applyAlignment="1">
      <alignment horizontal="center" vertical="center"/>
    </xf>
    <xf numFmtId="0" fontId="0" fillId="12" borderId="0" xfId="0" applyFill="1" applyAlignment="1">
      <alignment vertical="center"/>
    </xf>
    <xf numFmtId="0" fontId="17" fillId="11" borderId="0" xfId="0" applyFont="1" applyFill="1" applyAlignment="1">
      <alignment vertical="center"/>
    </xf>
    <xf numFmtId="0" fontId="0" fillId="12" borderId="0" xfId="0" applyFill="1"/>
    <xf numFmtId="0" fontId="0" fillId="15" borderId="0" xfId="0" applyFill="1" applyAlignment="1">
      <alignment vertical="center"/>
    </xf>
    <xf numFmtId="0" fontId="31" fillId="0" borderId="0" xfId="0" applyFont="1" applyAlignment="1">
      <alignment horizontal="center" vertical="center"/>
    </xf>
    <xf numFmtId="0" fontId="17" fillId="0" borderId="0" xfId="0" applyFont="1" applyAlignment="1">
      <alignment horizontal="center"/>
    </xf>
    <xf numFmtId="0" fontId="0" fillId="11" borderId="0" xfId="0" applyFill="1" applyAlignment="1">
      <alignment vertical="center"/>
    </xf>
    <xf numFmtId="0" fontId="17" fillId="11" borderId="0" xfId="0" quotePrefix="1" applyFont="1" applyFill="1" applyAlignment="1">
      <alignment vertical="center"/>
    </xf>
    <xf numFmtId="0" fontId="31" fillId="0" borderId="0" xfId="0" applyFont="1" applyAlignment="1">
      <alignment vertical="center"/>
    </xf>
    <xf numFmtId="0" fontId="32" fillId="11" borderId="0" xfId="0" applyFont="1" applyFill="1" applyAlignment="1">
      <alignment vertical="center"/>
    </xf>
    <xf numFmtId="0" fontId="32" fillId="0" borderId="0" xfId="0" applyFont="1" applyAlignment="1">
      <alignment vertical="center"/>
    </xf>
    <xf numFmtId="0" fontId="32" fillId="0" borderId="0" xfId="0" applyFont="1" applyAlignment="1">
      <alignment horizontal="center" vertical="center"/>
    </xf>
    <xf numFmtId="0" fontId="0" fillId="12" borderId="0" xfId="0" quotePrefix="1" applyFill="1" applyAlignment="1">
      <alignment vertical="center"/>
    </xf>
    <xf numFmtId="0" fontId="0" fillId="0" borderId="89" xfId="0" applyBorder="1" applyAlignment="1">
      <alignment horizontal="center" vertical="center"/>
    </xf>
    <xf numFmtId="0" fontId="0" fillId="0" borderId="90" xfId="0" applyBorder="1" applyAlignment="1">
      <alignment vertical="center"/>
    </xf>
    <xf numFmtId="0" fontId="0" fillId="0" borderId="91" xfId="0" applyBorder="1" applyAlignment="1">
      <alignment vertical="center"/>
    </xf>
    <xf numFmtId="0" fontId="0" fillId="0" borderId="92" xfId="0" applyBorder="1" applyAlignment="1">
      <alignment horizontal="center" vertical="center"/>
    </xf>
    <xf numFmtId="0" fontId="0" fillId="0" borderId="93" xfId="0" applyBorder="1" applyAlignment="1">
      <alignment vertical="center"/>
    </xf>
    <xf numFmtId="0" fontId="0" fillId="0" borderId="94" xfId="0" applyBorder="1" applyAlignment="1">
      <alignment horizontal="center" vertical="center"/>
    </xf>
    <xf numFmtId="0" fontId="0" fillId="0" borderId="95" xfId="0" applyBorder="1" applyAlignment="1">
      <alignment vertical="center"/>
    </xf>
    <xf numFmtId="0" fontId="0" fillId="0" borderId="96" xfId="0" applyBorder="1" applyAlignment="1">
      <alignment vertical="center"/>
    </xf>
    <xf numFmtId="0" fontId="35" fillId="0" borderId="0" xfId="0" applyFont="1" applyAlignment="1">
      <alignment vertical="center"/>
    </xf>
    <xf numFmtId="0" fontId="18" fillId="0" borderId="0" xfId="0" applyFont="1" applyAlignment="1">
      <alignment horizontal="right" vertical="center"/>
    </xf>
    <xf numFmtId="2" fontId="18" fillId="0" borderId="0" xfId="0" applyNumberFormat="1" applyFont="1" applyAlignment="1">
      <alignment horizontal="center" vertical="center"/>
    </xf>
    <xf numFmtId="0" fontId="18" fillId="0" borderId="0" xfId="0" applyFont="1" applyAlignment="1">
      <alignment horizontal="center" vertical="center"/>
    </xf>
    <xf numFmtId="0" fontId="17" fillId="15" borderId="0" xfId="0" applyFont="1" applyFill="1" applyAlignment="1">
      <alignment vertical="center"/>
    </xf>
    <xf numFmtId="0" fontId="17" fillId="15" borderId="0" xfId="0" quotePrefix="1" applyFont="1" applyFill="1" applyAlignment="1">
      <alignment vertical="center"/>
    </xf>
    <xf numFmtId="0" fontId="18" fillId="15" borderId="0" xfId="0" applyFont="1" applyFill="1" applyAlignment="1">
      <alignment vertical="center"/>
    </xf>
    <xf numFmtId="1" fontId="0" fillId="0" borderId="9" xfId="0" applyNumberFormat="1" applyBorder="1" applyAlignment="1">
      <alignment horizontal="center" vertical="center"/>
    </xf>
    <xf numFmtId="1" fontId="17" fillId="0" borderId="44" xfId="0" applyNumberFormat="1" applyFont="1" applyBorder="1" applyAlignment="1">
      <alignment horizontal="center" vertical="center"/>
    </xf>
    <xf numFmtId="1" fontId="17" fillId="0" borderId="31" xfId="0" applyNumberFormat="1" applyFont="1" applyBorder="1" applyAlignment="1">
      <alignment horizontal="center" vertical="center"/>
    </xf>
    <xf numFmtId="1" fontId="17" fillId="0" borderId="32" xfId="0" applyNumberFormat="1" applyFont="1" applyBorder="1" applyAlignment="1">
      <alignment horizontal="center" vertical="center"/>
    </xf>
    <xf numFmtId="1" fontId="17" fillId="0" borderId="40" xfId="0" applyNumberFormat="1" applyFont="1" applyBorder="1" applyAlignment="1">
      <alignment horizontal="center" vertical="center"/>
    </xf>
    <xf numFmtId="1" fontId="17" fillId="0" borderId="22" xfId="0" applyNumberFormat="1" applyFont="1" applyBorder="1" applyAlignment="1">
      <alignment horizontal="center" vertical="center"/>
    </xf>
    <xf numFmtId="1" fontId="17" fillId="0" borderId="27" xfId="0" applyNumberFormat="1" applyFont="1" applyBorder="1" applyAlignment="1">
      <alignment horizontal="center" vertical="center"/>
    </xf>
    <xf numFmtId="1" fontId="17" fillId="0" borderId="52" xfId="0" applyNumberFormat="1" applyFont="1" applyBorder="1" applyAlignment="1">
      <alignment horizontal="center" vertical="center"/>
    </xf>
    <xf numFmtId="1" fontId="17" fillId="0" borderId="29" xfId="0" applyNumberFormat="1" applyFont="1" applyBorder="1" applyAlignment="1">
      <alignment horizontal="center" vertical="center"/>
    </xf>
    <xf numFmtId="1" fontId="17" fillId="0" borderId="30" xfId="0" applyNumberFormat="1" applyFont="1" applyBorder="1" applyAlignment="1">
      <alignment horizontal="center" vertical="center"/>
    </xf>
    <xf numFmtId="3" fontId="0" fillId="4" borderId="38" xfId="2" applyNumberFormat="1" applyFont="1" applyFill="1" applyBorder="1" applyAlignment="1">
      <alignment horizontal="center" vertical="center"/>
    </xf>
    <xf numFmtId="3" fontId="0" fillId="4" borderId="38" xfId="0" applyNumberFormat="1" applyFill="1" applyBorder="1" applyAlignment="1">
      <alignment horizontal="center" vertical="center"/>
    </xf>
    <xf numFmtId="3" fontId="3" fillId="0" borderId="38" xfId="0" applyNumberFormat="1" applyFont="1" applyBorder="1" applyAlignment="1">
      <alignment horizontal="center" vertical="center"/>
    </xf>
    <xf numFmtId="0" fontId="12" fillId="0" borderId="0" xfId="0" applyFont="1" applyAlignment="1">
      <alignment vertical="center"/>
    </xf>
    <xf numFmtId="0" fontId="36" fillId="0" borderId="0" xfId="0" applyFont="1" applyAlignment="1">
      <alignment vertical="center"/>
    </xf>
    <xf numFmtId="0" fontId="0" fillId="0" borderId="0" xfId="0" quotePrefix="1"/>
    <xf numFmtId="0" fontId="37" fillId="0" borderId="0" xfId="0" applyFont="1" applyAlignment="1">
      <alignment horizontal="right" vertical="center"/>
    </xf>
    <xf numFmtId="3" fontId="37" fillId="0" borderId="0" xfId="0" applyNumberFormat="1" applyFont="1" applyAlignment="1">
      <alignment horizontal="left" vertical="center"/>
    </xf>
    <xf numFmtId="0" fontId="39" fillId="0" borderId="0" xfId="5" applyAlignment="1">
      <alignment vertical="center"/>
    </xf>
    <xf numFmtId="0" fontId="40" fillId="0" borderId="0" xfId="0" applyFont="1"/>
    <xf numFmtId="0" fontId="28" fillId="12" borderId="76" xfId="0" applyFont="1" applyFill="1" applyBorder="1" applyAlignment="1">
      <alignment vertical="center"/>
    </xf>
    <xf numFmtId="44" fontId="28" fillId="12" borderId="58" xfId="1" applyFont="1" applyFill="1" applyBorder="1" applyAlignment="1">
      <alignment horizontal="center" vertical="center"/>
    </xf>
    <xf numFmtId="0" fontId="28" fillId="12" borderId="58" xfId="0" applyFont="1" applyFill="1" applyBorder="1" applyAlignment="1">
      <alignment horizontal="center" vertical="center"/>
    </xf>
    <xf numFmtId="0" fontId="28" fillId="12" borderId="58" xfId="0" applyFont="1" applyFill="1" applyBorder="1" applyAlignment="1">
      <alignment vertical="center"/>
    </xf>
    <xf numFmtId="0" fontId="28" fillId="4" borderId="82" xfId="0" applyFont="1" applyFill="1" applyBorder="1" applyAlignment="1">
      <alignment vertical="center"/>
    </xf>
    <xf numFmtId="0" fontId="28" fillId="4" borderId="83" xfId="0" applyFont="1" applyFill="1" applyBorder="1" applyAlignment="1">
      <alignment vertical="center"/>
    </xf>
    <xf numFmtId="0" fontId="28" fillId="4" borderId="83" xfId="0" applyFont="1" applyFill="1" applyBorder="1" applyAlignment="1">
      <alignment horizontal="center" vertical="center"/>
    </xf>
    <xf numFmtId="11" fontId="0" fillId="0" borderId="0" xfId="0" applyNumberFormat="1" applyAlignment="1">
      <alignment vertical="center"/>
    </xf>
    <xf numFmtId="2" fontId="0" fillId="0" borderId="0" xfId="0" applyNumberFormat="1" applyAlignment="1">
      <alignment vertical="center"/>
    </xf>
    <xf numFmtId="11" fontId="9" fillId="0" borderId="0" xfId="0" applyNumberFormat="1" applyFont="1" applyAlignment="1">
      <alignment vertical="center" wrapText="1"/>
    </xf>
    <xf numFmtId="0" fontId="3" fillId="12" borderId="58" xfId="0" applyFont="1" applyFill="1" applyBorder="1" applyAlignment="1">
      <alignment horizontal="center" vertical="center"/>
    </xf>
    <xf numFmtId="0" fontId="3" fillId="11" borderId="61" xfId="0" applyFont="1" applyFill="1" applyBorder="1" applyAlignment="1">
      <alignment vertical="center"/>
    </xf>
    <xf numFmtId="0" fontId="3" fillId="11" borderId="61" xfId="0" applyFont="1" applyFill="1" applyBorder="1" applyAlignment="1">
      <alignment horizontal="center" vertical="center"/>
    </xf>
    <xf numFmtId="0" fontId="3" fillId="11" borderId="61" xfId="1" applyNumberFormat="1" applyFont="1" applyFill="1" applyBorder="1" applyAlignment="1">
      <alignment vertical="center"/>
    </xf>
    <xf numFmtId="0" fontId="3" fillId="11" borderId="58" xfId="0" applyFont="1" applyFill="1" applyBorder="1" applyAlignment="1">
      <alignment vertical="center"/>
    </xf>
    <xf numFmtId="0" fontId="3" fillId="11" borderId="58" xfId="0" applyFont="1" applyFill="1" applyBorder="1" applyAlignment="1">
      <alignment horizontal="center" vertical="center"/>
    </xf>
    <xf numFmtId="44" fontId="3" fillId="11" borderId="58" xfId="1" applyFont="1" applyFill="1" applyBorder="1" applyAlignment="1">
      <alignment vertical="center"/>
    </xf>
    <xf numFmtId="0" fontId="3" fillId="11" borderId="58" xfId="1" applyNumberFormat="1" applyFont="1" applyFill="1" applyBorder="1" applyAlignment="1">
      <alignment vertical="center"/>
    </xf>
    <xf numFmtId="2" fontId="3" fillId="11" borderId="59" xfId="0" applyNumberFormat="1" applyFont="1" applyFill="1" applyBorder="1" applyAlignment="1">
      <alignment vertical="center"/>
    </xf>
    <xf numFmtId="44" fontId="0" fillId="11" borderId="58" xfId="1" applyFont="1" applyFill="1" applyBorder="1" applyAlignment="1">
      <alignment vertical="center"/>
    </xf>
    <xf numFmtId="0" fontId="3" fillId="11" borderId="72" xfId="0" applyFont="1" applyFill="1" applyBorder="1" applyAlignment="1">
      <alignment vertical="center"/>
    </xf>
    <xf numFmtId="0" fontId="3" fillId="11" borderId="72" xfId="0" applyFont="1" applyFill="1" applyBorder="1" applyAlignment="1">
      <alignment horizontal="center" vertical="center"/>
    </xf>
    <xf numFmtId="44" fontId="3" fillId="11" borderId="72" xfId="1" applyFont="1" applyFill="1" applyBorder="1" applyAlignment="1">
      <alignment vertical="center"/>
    </xf>
    <xf numFmtId="0" fontId="0" fillId="11" borderId="72" xfId="1" applyNumberFormat="1" applyFont="1" applyFill="1" applyBorder="1" applyAlignment="1">
      <alignment horizontal="center" vertical="center"/>
    </xf>
    <xf numFmtId="44" fontId="0" fillId="11" borderId="72" xfId="1" applyFont="1" applyFill="1" applyBorder="1" applyAlignment="1">
      <alignment vertical="center"/>
    </xf>
    <xf numFmtId="0" fontId="3" fillId="11" borderId="66" xfId="0" applyFont="1" applyFill="1" applyBorder="1" applyAlignment="1">
      <alignment vertical="center"/>
    </xf>
    <xf numFmtId="0" fontId="3" fillId="11" borderId="66" xfId="0" applyFont="1" applyFill="1" applyBorder="1" applyAlignment="1">
      <alignment horizontal="center" vertical="center"/>
    </xf>
    <xf numFmtId="44" fontId="3" fillId="11" borderId="66" xfId="1" applyFont="1" applyFill="1" applyBorder="1" applyAlignment="1">
      <alignment vertical="center"/>
    </xf>
    <xf numFmtId="0" fontId="3" fillId="11" borderId="66" xfId="1" applyNumberFormat="1" applyFont="1" applyFill="1" applyBorder="1" applyAlignment="1">
      <alignment vertical="center"/>
    </xf>
    <xf numFmtId="2" fontId="3" fillId="11" borderId="67" xfId="0" applyNumberFormat="1" applyFont="1" applyFill="1" applyBorder="1" applyAlignment="1">
      <alignment vertical="center"/>
    </xf>
    <xf numFmtId="0" fontId="3" fillId="11" borderId="83" xfId="0" applyFont="1" applyFill="1" applyBorder="1" applyAlignment="1">
      <alignment vertical="center"/>
    </xf>
    <xf numFmtId="0" fontId="3" fillId="11" borderId="83" xfId="0" applyFont="1" applyFill="1" applyBorder="1" applyAlignment="1">
      <alignment horizontal="center" vertical="center"/>
    </xf>
    <xf numFmtId="44" fontId="3" fillId="11" borderId="83" xfId="1" applyFont="1" applyFill="1" applyBorder="1" applyAlignment="1">
      <alignment vertical="center"/>
    </xf>
    <xf numFmtId="0" fontId="3" fillId="11" borderId="83" xfId="1" applyNumberFormat="1" applyFont="1" applyFill="1" applyBorder="1" applyAlignment="1">
      <alignment vertical="center"/>
    </xf>
    <xf numFmtId="0" fontId="3" fillId="11" borderId="83" xfId="1" applyNumberFormat="1" applyFont="1" applyFill="1" applyBorder="1" applyAlignment="1">
      <alignment horizontal="center" vertical="center"/>
    </xf>
    <xf numFmtId="2" fontId="3" fillId="11" borderId="83" xfId="0" applyNumberFormat="1" applyFont="1" applyFill="1" applyBorder="1" applyAlignment="1">
      <alignment vertical="center"/>
    </xf>
    <xf numFmtId="2" fontId="3" fillId="11" borderId="84" xfId="0" applyNumberFormat="1" applyFont="1" applyFill="1" applyBorder="1" applyAlignment="1">
      <alignment horizontal="right" vertical="center"/>
    </xf>
    <xf numFmtId="2" fontId="3" fillId="11" borderId="85" xfId="0" applyNumberFormat="1" applyFont="1" applyFill="1" applyBorder="1" applyAlignment="1">
      <alignment vertical="center"/>
    </xf>
    <xf numFmtId="0" fontId="14" fillId="12" borderId="0" xfId="0" applyFont="1" applyFill="1"/>
    <xf numFmtId="0" fontId="26" fillId="12" borderId="0" xfId="0" applyFont="1" applyFill="1"/>
    <xf numFmtId="0" fontId="3" fillId="0" borderId="0" xfId="0" quotePrefix="1" applyFont="1" applyAlignment="1">
      <alignment vertical="center"/>
    </xf>
    <xf numFmtId="0" fontId="14" fillId="0" borderId="53" xfId="0" applyFont="1" applyBorder="1" applyAlignment="1">
      <alignment horizontal="center" vertical="center"/>
    </xf>
    <xf numFmtId="0" fontId="0" fillId="4" borderId="105" xfId="0" applyFill="1" applyBorder="1" applyAlignment="1">
      <alignment vertical="center"/>
    </xf>
    <xf numFmtId="2" fontId="14" fillId="3" borderId="97" xfId="0" applyNumberFormat="1" applyFont="1" applyFill="1" applyBorder="1" applyAlignment="1">
      <alignment horizontal="center" vertical="center"/>
    </xf>
    <xf numFmtId="2" fontId="14" fillId="3" borderId="0" xfId="0" applyNumberFormat="1" applyFont="1" applyFill="1" applyAlignment="1">
      <alignment vertical="center"/>
    </xf>
    <xf numFmtId="0" fontId="14" fillId="14" borderId="97" xfId="0" applyFont="1" applyFill="1" applyBorder="1" applyAlignment="1">
      <alignment horizontal="center" vertical="center"/>
    </xf>
    <xf numFmtId="0" fontId="0" fillId="18" borderId="0" xfId="0" applyFill="1" applyAlignment="1">
      <alignment vertical="center"/>
    </xf>
    <xf numFmtId="0" fontId="0" fillId="18" borderId="100" xfId="0" applyFill="1" applyBorder="1" applyAlignment="1">
      <alignment vertical="center"/>
    </xf>
    <xf numFmtId="0" fontId="14" fillId="3" borderId="97" xfId="0" applyFont="1" applyFill="1" applyBorder="1" applyAlignment="1">
      <alignment horizontal="center" vertical="center"/>
    </xf>
    <xf numFmtId="2" fontId="14" fillId="13" borderId="0" xfId="0" applyNumberFormat="1" applyFont="1" applyFill="1" applyAlignment="1">
      <alignment vertical="center"/>
    </xf>
    <xf numFmtId="43" fontId="0" fillId="12" borderId="106" xfId="2" applyFont="1" applyFill="1" applyBorder="1" applyAlignment="1">
      <alignment vertical="center"/>
    </xf>
    <xf numFmtId="43" fontId="0" fillId="12" borderId="112" xfId="2" applyFont="1" applyFill="1" applyBorder="1" applyAlignment="1">
      <alignment vertical="center"/>
    </xf>
    <xf numFmtId="43" fontId="0" fillId="12" borderId="109" xfId="2" applyFont="1" applyFill="1" applyBorder="1" applyAlignment="1">
      <alignment vertical="center"/>
    </xf>
    <xf numFmtId="43" fontId="0" fillId="0" borderId="0" xfId="2" applyFont="1" applyAlignment="1">
      <alignment vertical="center"/>
    </xf>
    <xf numFmtId="0" fontId="14" fillId="0" borderId="50" xfId="0" applyFont="1" applyBorder="1" applyAlignment="1">
      <alignment horizontal="center" vertical="center"/>
    </xf>
    <xf numFmtId="43" fontId="0" fillId="11" borderId="106" xfId="2" applyFont="1" applyFill="1" applyBorder="1" applyAlignment="1">
      <alignment vertical="center"/>
    </xf>
    <xf numFmtId="43" fontId="0" fillId="11" borderId="112" xfId="2" applyFont="1" applyFill="1" applyBorder="1" applyAlignment="1">
      <alignment vertical="center"/>
    </xf>
    <xf numFmtId="43" fontId="0" fillId="11" borderId="109" xfId="2" applyFont="1" applyFill="1" applyBorder="1" applyAlignment="1">
      <alignment vertical="center"/>
    </xf>
    <xf numFmtId="0" fontId="14" fillId="0" borderId="0" xfId="0" applyFont="1" applyAlignment="1">
      <alignment horizontal="center" vertical="center"/>
    </xf>
    <xf numFmtId="0" fontId="14" fillId="0" borderId="2" xfId="0" applyFont="1" applyBorder="1" applyAlignment="1">
      <alignment horizontal="center" vertical="center"/>
    </xf>
    <xf numFmtId="43" fontId="3" fillId="12" borderId="106" xfId="2" applyFont="1" applyFill="1" applyBorder="1" applyAlignment="1">
      <alignment vertical="center"/>
    </xf>
    <xf numFmtId="43" fontId="3" fillId="12" borderId="105" xfId="2" applyFont="1" applyFill="1" applyBorder="1" applyAlignment="1">
      <alignment vertical="center"/>
    </xf>
    <xf numFmtId="43" fontId="3" fillId="12" borderId="107" xfId="2" applyFont="1" applyFill="1" applyBorder="1" applyAlignment="1">
      <alignment vertical="center"/>
    </xf>
    <xf numFmtId="43" fontId="3" fillId="0" borderId="0" xfId="2" applyFont="1" applyAlignment="1">
      <alignment vertical="center"/>
    </xf>
    <xf numFmtId="2" fontId="2" fillId="0" borderId="0" xfId="0" applyNumberFormat="1" applyFont="1" applyAlignment="1">
      <alignment vertical="center"/>
    </xf>
    <xf numFmtId="43" fontId="3" fillId="12" borderId="109" xfId="2" applyFont="1" applyFill="1" applyBorder="1" applyAlignment="1">
      <alignment vertical="center"/>
    </xf>
    <xf numFmtId="43" fontId="3" fillId="12" borderId="108" xfId="2" applyFont="1" applyFill="1" applyBorder="1" applyAlignment="1">
      <alignment vertical="center"/>
    </xf>
    <xf numFmtId="43" fontId="3" fillId="12" borderId="110" xfId="2" applyFont="1" applyFill="1" applyBorder="1" applyAlignment="1">
      <alignment vertical="center"/>
    </xf>
    <xf numFmtId="43" fontId="3" fillId="12" borderId="103" xfId="2" applyFont="1" applyFill="1" applyBorder="1" applyAlignment="1">
      <alignment vertical="center"/>
    </xf>
    <xf numFmtId="43" fontId="3" fillId="12" borderId="98" xfId="2" applyFont="1" applyFill="1" applyBorder="1" applyAlignment="1">
      <alignment vertical="center"/>
    </xf>
    <xf numFmtId="43" fontId="3" fillId="12" borderId="104" xfId="2" applyFont="1" applyFill="1" applyBorder="1" applyAlignment="1">
      <alignment vertical="center"/>
    </xf>
    <xf numFmtId="43" fontId="0" fillId="12" borderId="50" xfId="2" applyFont="1" applyFill="1" applyBorder="1" applyAlignment="1">
      <alignment vertical="center"/>
    </xf>
    <xf numFmtId="43" fontId="0" fillId="12" borderId="0" xfId="2" applyFont="1" applyFill="1" applyAlignment="1">
      <alignment vertical="center"/>
    </xf>
    <xf numFmtId="43" fontId="0" fillId="12" borderId="2" xfId="2" applyFont="1" applyFill="1" applyBorder="1" applyAlignment="1">
      <alignment vertical="center"/>
    </xf>
    <xf numFmtId="43" fontId="0" fillId="12" borderId="103" xfId="2" applyFont="1" applyFill="1" applyBorder="1" applyAlignment="1">
      <alignment vertical="center"/>
    </xf>
    <xf numFmtId="43" fontId="0" fillId="12" borderId="98" xfId="2" applyFont="1" applyFill="1" applyBorder="1" applyAlignment="1">
      <alignment vertical="center"/>
    </xf>
    <xf numFmtId="43" fontId="0" fillId="12" borderId="104" xfId="2" applyFont="1" applyFill="1" applyBorder="1" applyAlignment="1">
      <alignment vertical="center"/>
    </xf>
    <xf numFmtId="0" fontId="0" fillId="0" borderId="102" xfId="0" applyBorder="1" applyAlignment="1">
      <alignment vertical="center"/>
    </xf>
    <xf numFmtId="0" fontId="0" fillId="18" borderId="101" xfId="0" applyFill="1" applyBorder="1" applyAlignment="1">
      <alignment vertical="center"/>
    </xf>
    <xf numFmtId="0" fontId="0" fillId="4" borderId="105" xfId="0" applyFill="1" applyBorder="1" applyAlignment="1">
      <alignment horizontal="center" vertical="center"/>
    </xf>
    <xf numFmtId="0" fontId="0" fillId="4" borderId="106" xfId="0" applyFill="1" applyBorder="1" applyAlignment="1">
      <alignment vertical="center"/>
    </xf>
    <xf numFmtId="0" fontId="0" fillId="4" borderId="111" xfId="0" applyFill="1" applyBorder="1" applyAlignment="1">
      <alignment horizontal="center" vertical="center"/>
    </xf>
    <xf numFmtId="0" fontId="0" fillId="4" borderId="112" xfId="0" applyFill="1" applyBorder="1" applyAlignment="1">
      <alignment horizontal="center" vertical="center"/>
    </xf>
    <xf numFmtId="0" fontId="0" fillId="4" borderId="108" xfId="0" applyFill="1" applyBorder="1" applyAlignment="1">
      <alignment horizontal="center" vertical="center"/>
    </xf>
    <xf numFmtId="0" fontId="0" fillId="4" borderId="109" xfId="0" applyFill="1" applyBorder="1" applyAlignment="1">
      <alignment horizontal="center" vertical="center"/>
    </xf>
    <xf numFmtId="0" fontId="0" fillId="4" borderId="106" xfId="0" applyFill="1" applyBorder="1" applyAlignment="1">
      <alignment horizontal="center" vertical="center"/>
    </xf>
    <xf numFmtId="0" fontId="0" fillId="9" borderId="0" xfId="0" quotePrefix="1" applyFill="1" applyAlignment="1">
      <alignment vertical="center"/>
    </xf>
    <xf numFmtId="0" fontId="0" fillId="9" borderId="0" xfId="0" applyFill="1" applyAlignment="1">
      <alignment horizontal="center" vertical="center"/>
    </xf>
    <xf numFmtId="0" fontId="0" fillId="9" borderId="102" xfId="0" applyFill="1" applyBorder="1" applyAlignment="1">
      <alignment horizontal="center" vertical="center"/>
    </xf>
    <xf numFmtId="0" fontId="0" fillId="18" borderId="101" xfId="0" applyFill="1" applyBorder="1" applyAlignment="1">
      <alignment horizontal="center" vertical="center"/>
    </xf>
    <xf numFmtId="0" fontId="0" fillId="12" borderId="98" xfId="0" applyFill="1" applyBorder="1" applyAlignment="1">
      <alignment horizontal="center" vertical="center"/>
    </xf>
    <xf numFmtId="0" fontId="0" fillId="12" borderId="103" xfId="0" applyFill="1" applyBorder="1" applyAlignment="1">
      <alignment horizontal="center" vertical="center"/>
    </xf>
    <xf numFmtId="0" fontId="0" fillId="12" borderId="104" xfId="0" applyFill="1" applyBorder="1" applyAlignment="1">
      <alignment horizontal="center" vertical="center"/>
    </xf>
    <xf numFmtId="0" fontId="0" fillId="12" borderId="105" xfId="0" applyFill="1" applyBorder="1" applyAlignment="1">
      <alignment horizontal="center" vertical="center"/>
    </xf>
    <xf numFmtId="0" fontId="0" fillId="12" borderId="106" xfId="0" applyFill="1" applyBorder="1" applyAlignment="1">
      <alignment horizontal="center" vertical="center"/>
    </xf>
    <xf numFmtId="0" fontId="0" fillId="12" borderId="107" xfId="0" applyFill="1" applyBorder="1" applyAlignment="1">
      <alignment horizontal="center" vertical="center"/>
    </xf>
    <xf numFmtId="0" fontId="0" fillId="12" borderId="108" xfId="0" applyFill="1" applyBorder="1" applyAlignment="1">
      <alignment horizontal="center" vertical="center"/>
    </xf>
    <xf numFmtId="0" fontId="0" fillId="12" borderId="109" xfId="0" applyFill="1" applyBorder="1" applyAlignment="1">
      <alignment horizontal="center" vertical="center"/>
    </xf>
    <xf numFmtId="0" fontId="0" fillId="12" borderId="110" xfId="0" applyFill="1" applyBorder="1" applyAlignment="1">
      <alignment horizontal="center" vertical="center"/>
    </xf>
    <xf numFmtId="0" fontId="0" fillId="12" borderId="0" xfId="0" applyFill="1" applyAlignment="1">
      <alignment horizontal="center" vertical="center"/>
    </xf>
    <xf numFmtId="0" fontId="0" fillId="13" borderId="0" xfId="0" applyFill="1" applyAlignment="1">
      <alignment vertical="center"/>
    </xf>
    <xf numFmtId="2" fontId="0" fillId="0" borderId="113" xfId="0" applyNumberFormat="1" applyBorder="1" applyAlignment="1">
      <alignment vertical="center"/>
    </xf>
    <xf numFmtId="0" fontId="0" fillId="12" borderId="111" xfId="0" applyFill="1" applyBorder="1" applyAlignment="1">
      <alignment horizontal="center" vertical="center"/>
    </xf>
    <xf numFmtId="2" fontId="0" fillId="0" borderId="102" xfId="0" applyNumberFormat="1" applyBorder="1" applyAlignment="1">
      <alignment vertical="center"/>
    </xf>
    <xf numFmtId="0" fontId="0" fillId="13" borderId="0" xfId="0" applyFill="1" applyAlignment="1">
      <alignment horizontal="center" vertical="center"/>
    </xf>
    <xf numFmtId="0" fontId="0" fillId="11" borderId="105" xfId="0" applyFill="1" applyBorder="1" applyAlignment="1">
      <alignment horizontal="center" vertical="center"/>
    </xf>
    <xf numFmtId="0" fontId="0" fillId="11" borderId="111" xfId="0" applyFill="1" applyBorder="1" applyAlignment="1">
      <alignment horizontal="center" vertical="center"/>
    </xf>
    <xf numFmtId="0" fontId="0" fillId="11" borderId="108" xfId="0" applyFill="1" applyBorder="1" applyAlignment="1">
      <alignment horizontal="center" vertical="center"/>
    </xf>
    <xf numFmtId="0" fontId="0" fillId="12" borderId="106" xfId="0" applyFill="1" applyBorder="1" applyAlignment="1">
      <alignment vertical="center"/>
    </xf>
    <xf numFmtId="43" fontId="0" fillId="12" borderId="112" xfId="0" applyNumberFormat="1" applyFill="1" applyBorder="1" applyAlignment="1">
      <alignment vertical="center"/>
    </xf>
    <xf numFmtId="43" fontId="0" fillId="12" borderId="109" xfId="0" applyNumberFormat="1" applyFill="1" applyBorder="1" applyAlignment="1">
      <alignment vertical="center"/>
    </xf>
    <xf numFmtId="43" fontId="0" fillId="12" borderId="106" xfId="0" applyNumberFormat="1" applyFill="1" applyBorder="1" applyAlignment="1">
      <alignment vertical="center"/>
    </xf>
    <xf numFmtId="0" fontId="0" fillId="3" borderId="64" xfId="0" applyFill="1" applyBorder="1" applyAlignment="1">
      <alignment vertical="center"/>
    </xf>
    <xf numFmtId="0" fontId="0" fillId="12" borderId="75" xfId="0" applyFill="1" applyBorder="1" applyAlignment="1">
      <alignment vertical="center"/>
    </xf>
    <xf numFmtId="0" fontId="0" fillId="12" borderId="66" xfId="0" applyFill="1" applyBorder="1" applyAlignment="1">
      <alignment horizontal="center" vertical="center"/>
    </xf>
    <xf numFmtId="0" fontId="0" fillId="12" borderId="66" xfId="0" applyFill="1" applyBorder="1" applyAlignment="1">
      <alignment vertical="center"/>
    </xf>
    <xf numFmtId="0" fontId="0" fillId="12" borderId="76" xfId="0" applyFill="1" applyBorder="1" applyAlignment="1">
      <alignment vertical="center"/>
    </xf>
    <xf numFmtId="0" fontId="0" fillId="12" borderId="58" xfId="0" applyFill="1" applyBorder="1" applyAlignment="1">
      <alignment horizontal="center" vertical="center"/>
    </xf>
    <xf numFmtId="0" fontId="0" fillId="12" borderId="58" xfId="0" applyFill="1" applyBorder="1" applyAlignment="1">
      <alignment vertical="center"/>
    </xf>
    <xf numFmtId="0" fontId="0" fillId="12" borderId="77" xfId="0" applyFill="1" applyBorder="1" applyAlignment="1">
      <alignment vertical="center"/>
    </xf>
    <xf numFmtId="0" fontId="0" fillId="12" borderId="69" xfId="0" applyFill="1" applyBorder="1" applyAlignment="1">
      <alignment horizontal="center" vertical="center"/>
    </xf>
    <xf numFmtId="0" fontId="0" fillId="12" borderId="69" xfId="0" applyFill="1" applyBorder="1" applyAlignment="1">
      <alignment vertical="center"/>
    </xf>
    <xf numFmtId="164" fontId="0" fillId="0" borderId="0" xfId="0" applyNumberFormat="1" applyAlignment="1">
      <alignment vertical="center"/>
    </xf>
    <xf numFmtId="164" fontId="0" fillId="0" borderId="0" xfId="0" applyNumberFormat="1" applyAlignment="1">
      <alignment horizontal="center" vertical="center"/>
    </xf>
    <xf numFmtId="164" fontId="0" fillId="0" borderId="1" xfId="0" applyNumberFormat="1" applyBorder="1" applyAlignment="1">
      <alignment vertical="center"/>
    </xf>
    <xf numFmtId="0" fontId="0" fillId="11" borderId="66" xfId="0" applyFill="1" applyBorder="1" applyAlignment="1">
      <alignment horizontal="center" vertical="center"/>
    </xf>
    <xf numFmtId="2" fontId="0" fillId="11" borderId="66" xfId="0" applyNumberFormat="1" applyFill="1" applyBorder="1" applyAlignment="1">
      <alignment vertical="center"/>
    </xf>
    <xf numFmtId="0" fontId="0" fillId="11" borderId="66" xfId="0" applyFill="1" applyBorder="1" applyAlignment="1">
      <alignment vertical="center"/>
    </xf>
    <xf numFmtId="2" fontId="0" fillId="11" borderId="67" xfId="0" applyNumberFormat="1" applyFill="1" applyBorder="1" applyAlignment="1">
      <alignment vertical="center"/>
    </xf>
    <xf numFmtId="0" fontId="0" fillId="11" borderId="58" xfId="0" applyFill="1" applyBorder="1" applyAlignment="1">
      <alignment horizontal="center" vertical="center"/>
    </xf>
    <xf numFmtId="2" fontId="0" fillId="11" borderId="58" xfId="0" applyNumberFormat="1" applyFill="1" applyBorder="1" applyAlignment="1">
      <alignment vertical="center"/>
    </xf>
    <xf numFmtId="0" fontId="0" fillId="11" borderId="58" xfId="0" applyFill="1" applyBorder="1" applyAlignment="1">
      <alignment vertical="center"/>
    </xf>
    <xf numFmtId="2" fontId="0" fillId="11" borderId="59" xfId="0" applyNumberFormat="1" applyFill="1" applyBorder="1" applyAlignment="1">
      <alignment vertical="center"/>
    </xf>
    <xf numFmtId="0" fontId="0" fillId="11" borderId="69" xfId="0" applyFill="1" applyBorder="1" applyAlignment="1">
      <alignment horizontal="center" vertical="center"/>
    </xf>
    <xf numFmtId="2" fontId="0" fillId="11" borderId="69" xfId="0" applyNumberFormat="1" applyFill="1" applyBorder="1" applyAlignment="1">
      <alignment vertical="center"/>
    </xf>
    <xf numFmtId="0" fontId="0" fillId="11" borderId="69" xfId="0" applyFill="1" applyBorder="1" applyAlignment="1">
      <alignment vertical="center"/>
    </xf>
    <xf numFmtId="2" fontId="0" fillId="11" borderId="70" xfId="0" applyNumberFormat="1" applyFill="1" applyBorder="1" applyAlignment="1">
      <alignment vertical="center"/>
    </xf>
    <xf numFmtId="167" fontId="0" fillId="11" borderId="66" xfId="0" applyNumberFormat="1" applyFill="1" applyBorder="1" applyAlignment="1">
      <alignment vertical="center"/>
    </xf>
    <xf numFmtId="167" fontId="0" fillId="11" borderId="58" xfId="0" applyNumberFormat="1" applyFill="1" applyBorder="1" applyAlignment="1">
      <alignment vertical="center"/>
    </xf>
    <xf numFmtId="167" fontId="0" fillId="11" borderId="69" xfId="0" applyNumberFormat="1" applyFill="1" applyBorder="1" applyAlignment="1">
      <alignment vertical="center"/>
    </xf>
    <xf numFmtId="0" fontId="0" fillId="11" borderId="61" xfId="0" applyFill="1" applyBorder="1" applyAlignment="1">
      <alignment horizontal="center" vertical="center"/>
    </xf>
    <xf numFmtId="167" fontId="0" fillId="11" borderId="61" xfId="0" applyNumberFormat="1" applyFill="1" applyBorder="1" applyAlignment="1">
      <alignment vertical="center"/>
    </xf>
    <xf numFmtId="0" fontId="0" fillId="11" borderId="61" xfId="0" applyFill="1" applyBorder="1" applyAlignment="1">
      <alignment vertical="center"/>
    </xf>
    <xf numFmtId="2" fontId="0" fillId="11" borderId="62" xfId="0" applyNumberFormat="1" applyFill="1" applyBorder="1" applyAlignment="1">
      <alignment vertical="center"/>
    </xf>
    <xf numFmtId="0" fontId="0" fillId="11" borderId="72" xfId="0" applyFill="1" applyBorder="1" applyAlignment="1">
      <alignment horizontal="center" vertical="center"/>
    </xf>
    <xf numFmtId="167" fontId="0" fillId="11" borderId="72" xfId="0" applyNumberFormat="1" applyFill="1" applyBorder="1" applyAlignment="1">
      <alignment vertical="center"/>
    </xf>
    <xf numFmtId="0" fontId="0" fillId="11" borderId="72" xfId="0" applyFill="1" applyBorder="1" applyAlignment="1">
      <alignment vertical="center"/>
    </xf>
    <xf numFmtId="2" fontId="0" fillId="11" borderId="73" xfId="0" applyNumberFormat="1" applyFill="1" applyBorder="1" applyAlignment="1">
      <alignment vertical="center"/>
    </xf>
    <xf numFmtId="2" fontId="0" fillId="11" borderId="61" xfId="0" applyNumberFormat="1" applyFill="1" applyBorder="1" applyAlignment="1">
      <alignment vertical="center"/>
    </xf>
    <xf numFmtId="2" fontId="0" fillId="11" borderId="72" xfId="0" applyNumberFormat="1" applyFill="1" applyBorder="1" applyAlignment="1">
      <alignment vertical="center"/>
    </xf>
    <xf numFmtId="0" fontId="0" fillId="11" borderId="80" xfId="0" applyFill="1" applyBorder="1" applyAlignment="1">
      <alignment vertical="center"/>
    </xf>
    <xf numFmtId="0" fontId="0" fillId="11" borderId="75" xfId="0" applyFill="1" applyBorder="1" applyAlignment="1">
      <alignment vertical="center"/>
    </xf>
    <xf numFmtId="0" fontId="0" fillId="11" borderId="76" xfId="0" applyFill="1" applyBorder="1" applyAlignment="1">
      <alignment vertical="center"/>
    </xf>
    <xf numFmtId="2" fontId="0" fillId="0" borderId="1" xfId="0" applyNumberFormat="1" applyBorder="1" applyAlignment="1">
      <alignment vertical="center"/>
    </xf>
    <xf numFmtId="0" fontId="0" fillId="0" borderId="4" xfId="0" applyBorder="1" applyAlignment="1">
      <alignment vertical="center"/>
    </xf>
    <xf numFmtId="2" fontId="0" fillId="0" borderId="4" xfId="0" applyNumberFormat="1" applyBorder="1" applyAlignment="1">
      <alignment vertical="center"/>
    </xf>
    <xf numFmtId="2" fontId="0" fillId="12" borderId="76" xfId="0" applyNumberFormat="1" applyFill="1" applyBorder="1" applyAlignment="1">
      <alignment vertical="center"/>
    </xf>
    <xf numFmtId="0" fontId="0" fillId="4" borderId="82" xfId="0" applyFill="1" applyBorder="1" applyAlignment="1">
      <alignment vertical="center"/>
    </xf>
    <xf numFmtId="0" fontId="0" fillId="4" borderId="83" xfId="0" applyFill="1" applyBorder="1" applyAlignment="1">
      <alignment vertical="center"/>
    </xf>
    <xf numFmtId="0" fontId="0" fillId="4" borderId="80" xfId="0" applyFill="1" applyBorder="1" applyAlignment="1">
      <alignment vertical="center"/>
    </xf>
    <xf numFmtId="2" fontId="0" fillId="4" borderId="55" xfId="0" applyNumberFormat="1" applyFill="1" applyBorder="1" applyAlignment="1">
      <alignment vertical="center"/>
    </xf>
    <xf numFmtId="0" fontId="0" fillId="4" borderId="78" xfId="0" applyFill="1" applyBorder="1" applyAlignment="1">
      <alignment vertical="center"/>
    </xf>
    <xf numFmtId="2" fontId="0" fillId="4" borderId="61" xfId="0" applyNumberFormat="1" applyFill="1" applyBorder="1" applyAlignment="1">
      <alignment vertical="center"/>
    </xf>
    <xf numFmtId="0" fontId="0" fillId="4" borderId="61" xfId="0" applyFill="1" applyBorder="1" applyAlignment="1">
      <alignment vertical="center"/>
    </xf>
    <xf numFmtId="0" fontId="0" fillId="4" borderId="76" xfId="0" applyFill="1" applyBorder="1" applyAlignment="1">
      <alignment vertical="center"/>
    </xf>
    <xf numFmtId="164" fontId="0" fillId="4" borderId="58" xfId="0" applyNumberFormat="1" applyFill="1" applyBorder="1" applyAlignment="1">
      <alignment vertical="center"/>
    </xf>
    <xf numFmtId="0" fontId="0" fillId="4" borderId="58" xfId="0" applyFill="1" applyBorder="1" applyAlignment="1">
      <alignment vertical="center"/>
    </xf>
    <xf numFmtId="0" fontId="0" fillId="4" borderId="79" xfId="0" applyFill="1" applyBorder="1" applyAlignment="1">
      <alignment vertical="center"/>
    </xf>
    <xf numFmtId="2" fontId="0" fillId="4" borderId="72" xfId="0" applyNumberFormat="1" applyFill="1" applyBorder="1" applyAlignment="1">
      <alignment horizontal="center" vertical="center"/>
    </xf>
    <xf numFmtId="0" fontId="0" fillId="4" borderId="72" xfId="0" applyFill="1" applyBorder="1" applyAlignment="1">
      <alignment vertical="center"/>
    </xf>
    <xf numFmtId="0" fontId="0" fillId="4" borderId="75" xfId="0" applyFill="1" applyBorder="1" applyAlignment="1">
      <alignment vertical="center"/>
    </xf>
    <xf numFmtId="0" fontId="0" fillId="4" borderId="66" xfId="0" applyFill="1" applyBorder="1" applyAlignment="1">
      <alignment vertical="center"/>
    </xf>
    <xf numFmtId="2" fontId="0" fillId="4" borderId="58" xfId="0" applyNumberFormat="1" applyFill="1" applyBorder="1" applyAlignment="1">
      <alignment vertical="center"/>
    </xf>
    <xf numFmtId="164" fontId="0" fillId="4" borderId="66" xfId="0" applyNumberFormat="1" applyFill="1" applyBorder="1" applyAlignment="1">
      <alignment vertical="center"/>
    </xf>
    <xf numFmtId="0" fontId="0" fillId="4" borderId="76" xfId="0" quotePrefix="1" applyFill="1" applyBorder="1" applyAlignment="1">
      <alignment vertical="center"/>
    </xf>
    <xf numFmtId="0" fontId="0" fillId="4" borderId="77" xfId="0" applyFill="1" applyBorder="1" applyAlignment="1">
      <alignment vertical="center"/>
    </xf>
    <xf numFmtId="0" fontId="0" fillId="4" borderId="69" xfId="0" applyFill="1" applyBorder="1" applyAlignment="1">
      <alignment vertical="center"/>
    </xf>
    <xf numFmtId="164" fontId="0" fillId="4" borderId="69" xfId="0" applyNumberFormat="1" applyFill="1" applyBorder="1" applyAlignment="1">
      <alignment vertical="center"/>
    </xf>
    <xf numFmtId="0" fontId="0" fillId="4" borderId="81" xfId="0" applyFill="1" applyBorder="1" applyAlignment="1">
      <alignment vertical="center"/>
    </xf>
    <xf numFmtId="164" fontId="0" fillId="4" borderId="0" xfId="0" applyNumberFormat="1" applyFill="1" applyAlignment="1">
      <alignment horizontal="center" vertical="center"/>
    </xf>
    <xf numFmtId="164" fontId="0" fillId="4" borderId="0" xfId="0" applyNumberFormat="1" applyFill="1" applyAlignment="1">
      <alignment vertical="center"/>
    </xf>
    <xf numFmtId="164" fontId="0" fillId="4" borderId="66" xfId="0" applyNumberFormat="1" applyFill="1" applyBorder="1" applyAlignment="1">
      <alignment horizontal="center" vertical="center"/>
    </xf>
    <xf numFmtId="166" fontId="0" fillId="11" borderId="72" xfId="0" applyNumberFormat="1" applyFill="1" applyBorder="1" applyAlignment="1">
      <alignment vertical="center"/>
    </xf>
    <xf numFmtId="0" fontId="0" fillId="11" borderId="55" xfId="0" applyFill="1" applyBorder="1" applyAlignment="1">
      <alignment horizontal="center" vertical="center"/>
    </xf>
    <xf numFmtId="2" fontId="0" fillId="11" borderId="55" xfId="0" applyNumberFormat="1" applyFill="1" applyBorder="1" applyAlignment="1">
      <alignment vertical="center"/>
    </xf>
    <xf numFmtId="0" fontId="0" fillId="11" borderId="55" xfId="0" applyFill="1" applyBorder="1" applyAlignment="1">
      <alignment vertical="center"/>
    </xf>
    <xf numFmtId="2" fontId="0" fillId="11" borderId="56" xfId="0" applyNumberFormat="1" applyFill="1" applyBorder="1" applyAlignment="1">
      <alignment vertical="center"/>
    </xf>
    <xf numFmtId="166" fontId="0" fillId="11" borderId="58" xfId="0" applyNumberFormat="1" applyFill="1" applyBorder="1" applyAlignment="1">
      <alignment vertical="center"/>
    </xf>
    <xf numFmtId="164" fontId="0" fillId="11" borderId="55" xfId="0" applyNumberFormat="1" applyFill="1" applyBorder="1" applyAlignment="1">
      <alignment vertical="center"/>
    </xf>
    <xf numFmtId="164" fontId="0" fillId="11" borderId="66" xfId="0" applyNumberFormat="1" applyFill="1" applyBorder="1" applyAlignment="1">
      <alignment vertical="center"/>
    </xf>
    <xf numFmtId="0" fontId="0" fillId="11" borderId="78" xfId="0" applyFill="1" applyBorder="1" applyAlignment="1">
      <alignment vertical="center"/>
    </xf>
    <xf numFmtId="164" fontId="0" fillId="11" borderId="61" xfId="0" applyNumberFormat="1" applyFill="1" applyBorder="1" applyAlignment="1">
      <alignment vertical="center"/>
    </xf>
    <xf numFmtId="0" fontId="0" fillId="11" borderId="88" xfId="0" applyFill="1" applyBorder="1" applyAlignment="1">
      <alignment vertical="center"/>
    </xf>
    <xf numFmtId="0" fontId="0" fillId="11" borderId="64" xfId="0" applyFill="1" applyBorder="1" applyAlignment="1">
      <alignment vertical="center"/>
    </xf>
    <xf numFmtId="0" fontId="0" fillId="11" borderId="64" xfId="0" applyFill="1" applyBorder="1" applyAlignment="1">
      <alignment horizontal="center" vertical="center"/>
    </xf>
    <xf numFmtId="164" fontId="0" fillId="11" borderId="64" xfId="0" applyNumberFormat="1" applyFill="1" applyBorder="1" applyAlignment="1">
      <alignment vertical="center"/>
    </xf>
    <xf numFmtId="2" fontId="0" fillId="11" borderId="64" xfId="0" applyNumberFormat="1" applyFill="1" applyBorder="1" applyAlignment="1">
      <alignment vertical="center"/>
    </xf>
    <xf numFmtId="2" fontId="0" fillId="11" borderId="65" xfId="0" applyNumberFormat="1" applyFill="1" applyBorder="1" applyAlignment="1">
      <alignment vertical="center"/>
    </xf>
    <xf numFmtId="164" fontId="0" fillId="11" borderId="58" xfId="0" applyNumberFormat="1" applyFill="1" applyBorder="1" applyAlignment="1">
      <alignment vertical="center"/>
    </xf>
    <xf numFmtId="164" fontId="0" fillId="0" borderId="0" xfId="0" applyNumberFormat="1"/>
    <xf numFmtId="0" fontId="0" fillId="0" borderId="50" xfId="0" applyBorder="1" applyAlignment="1">
      <alignment horizontal="center"/>
    </xf>
    <xf numFmtId="164" fontId="0" fillId="12" borderId="114" xfId="0" applyNumberFormat="1" applyFill="1" applyBorder="1"/>
    <xf numFmtId="164" fontId="0" fillId="12" borderId="115" xfId="0" applyNumberFormat="1" applyFill="1" applyBorder="1"/>
    <xf numFmtId="164" fontId="0" fillId="12" borderId="116" xfId="0" applyNumberFormat="1" applyFill="1" applyBorder="1"/>
    <xf numFmtId="0" fontId="26" fillId="0" borderId="50" xfId="0" applyFont="1" applyBorder="1" applyAlignment="1">
      <alignment horizontal="center"/>
    </xf>
    <xf numFmtId="164" fontId="26" fillId="2" borderId="114" xfId="0" applyNumberFormat="1" applyFont="1" applyFill="1" applyBorder="1"/>
    <xf numFmtId="164" fontId="26" fillId="2" borderId="115" xfId="0" applyNumberFormat="1" applyFont="1" applyFill="1" applyBorder="1"/>
    <xf numFmtId="164" fontId="26" fillId="2" borderId="116" xfId="0" applyNumberFormat="1" applyFont="1" applyFill="1" applyBorder="1"/>
    <xf numFmtId="0" fontId="0" fillId="0" borderId="50" xfId="0" applyBorder="1"/>
    <xf numFmtId="43" fontId="0" fillId="19" borderId="106" xfId="2" applyFont="1" applyFill="1" applyBorder="1" applyAlignment="1">
      <alignment vertical="center"/>
    </xf>
    <xf numFmtId="43" fontId="0" fillId="19" borderId="112" xfId="2" applyFont="1" applyFill="1" applyBorder="1" applyAlignment="1">
      <alignment vertical="center"/>
    </xf>
    <xf numFmtId="43" fontId="0" fillId="19" borderId="109" xfId="2" applyFont="1" applyFill="1" applyBorder="1" applyAlignment="1">
      <alignment vertical="center"/>
    </xf>
    <xf numFmtId="11" fontId="0" fillId="0" borderId="0" xfId="0" applyNumberFormat="1"/>
    <xf numFmtId="43" fontId="26" fillId="2" borderId="106" xfId="2" applyFont="1" applyFill="1" applyBorder="1" applyAlignment="1">
      <alignment vertical="center"/>
    </xf>
    <xf numFmtId="43" fontId="26" fillId="2" borderId="109" xfId="2" applyFont="1" applyFill="1" applyBorder="1" applyAlignment="1">
      <alignment vertical="center"/>
    </xf>
    <xf numFmtId="2" fontId="14" fillId="20" borderId="0" xfId="0" applyNumberFormat="1" applyFont="1" applyFill="1" applyAlignment="1">
      <alignment vertical="center"/>
    </xf>
    <xf numFmtId="0" fontId="0" fillId="21" borderId="105" xfId="0" applyFill="1" applyBorder="1" applyAlignment="1">
      <alignment horizontal="center" vertical="center"/>
    </xf>
    <xf numFmtId="43" fontId="0" fillId="21" borderId="106" xfId="2" applyFont="1" applyFill="1" applyBorder="1" applyAlignment="1">
      <alignment vertical="center"/>
    </xf>
    <xf numFmtId="0" fontId="0" fillId="21" borderId="111" xfId="0" applyFill="1" applyBorder="1" applyAlignment="1">
      <alignment horizontal="center" vertical="center"/>
    </xf>
    <xf numFmtId="43" fontId="0" fillId="21" borderId="112" xfId="2" applyFont="1" applyFill="1" applyBorder="1" applyAlignment="1">
      <alignment vertical="center"/>
    </xf>
    <xf numFmtId="0" fontId="0" fillId="21" borderId="108" xfId="0" applyFill="1" applyBorder="1" applyAlignment="1">
      <alignment horizontal="center" vertical="center"/>
    </xf>
    <xf numFmtId="43" fontId="0" fillId="21" borderId="109" xfId="2" applyFont="1" applyFill="1" applyBorder="1" applyAlignment="1">
      <alignment vertical="center"/>
    </xf>
    <xf numFmtId="2" fontId="14" fillId="20" borderId="50" xfId="0" applyNumberFormat="1" applyFont="1" applyFill="1" applyBorder="1" applyAlignment="1">
      <alignment horizontal="center" vertical="center"/>
    </xf>
    <xf numFmtId="0" fontId="0" fillId="0" borderId="101" xfId="0" applyBorder="1"/>
    <xf numFmtId="0" fontId="14" fillId="13" borderId="97" xfId="0" applyFont="1" applyFill="1" applyBorder="1" applyAlignment="1">
      <alignment horizontal="center" vertical="center"/>
    </xf>
    <xf numFmtId="2" fontId="14" fillId="20" borderId="97" xfId="0" applyNumberFormat="1" applyFont="1" applyFill="1" applyBorder="1" applyAlignment="1">
      <alignment horizontal="center" vertical="center"/>
    </xf>
    <xf numFmtId="167" fontId="0" fillId="0" borderId="0" xfId="0" applyNumberFormat="1" applyAlignment="1">
      <alignment vertical="center"/>
    </xf>
    <xf numFmtId="0" fontId="0" fillId="0" borderId="0" xfId="0" applyAlignment="1">
      <alignment vertical="center" wrapText="1"/>
    </xf>
    <xf numFmtId="0" fontId="0" fillId="0" borderId="53" xfId="0" applyBorder="1" applyAlignment="1">
      <alignment vertical="center"/>
    </xf>
    <xf numFmtId="3" fontId="0" fillId="0" borderId="53" xfId="0" applyNumberFormat="1" applyBorder="1" applyAlignment="1">
      <alignment horizontal="center" vertical="center"/>
    </xf>
    <xf numFmtId="0" fontId="0" fillId="17" borderId="0" xfId="0" applyFill="1" applyAlignment="1">
      <alignment vertical="center"/>
    </xf>
    <xf numFmtId="9" fontId="0" fillId="0" borderId="53" xfId="0" applyNumberFormat="1" applyBorder="1" applyAlignment="1">
      <alignment horizontal="center" vertical="center"/>
    </xf>
    <xf numFmtId="0" fontId="0" fillId="5" borderId="0" xfId="0" applyFill="1" applyAlignment="1">
      <alignment vertical="center"/>
    </xf>
    <xf numFmtId="0" fontId="8" fillId="12" borderId="0" xfId="0" applyFont="1" applyFill="1" applyAlignment="1">
      <alignment horizontal="center" vertical="center"/>
    </xf>
    <xf numFmtId="0" fontId="43" fillId="0" borderId="0" xfId="0" applyFont="1" applyAlignment="1">
      <alignment vertical="center"/>
    </xf>
    <xf numFmtId="0" fontId="0" fillId="0" borderId="105" xfId="0" applyBorder="1" applyAlignment="1">
      <alignment horizontal="center" vertical="center"/>
    </xf>
    <xf numFmtId="2" fontId="0" fillId="0" borderId="105" xfId="0" applyNumberFormat="1" applyBorder="1" applyAlignment="1">
      <alignment vertical="center"/>
    </xf>
    <xf numFmtId="0" fontId="0" fillId="0" borderId="108" xfId="0" applyBorder="1" applyAlignment="1">
      <alignment horizontal="center" vertical="center"/>
    </xf>
    <xf numFmtId="2" fontId="0" fillId="0" borderId="108" xfId="0" applyNumberFormat="1" applyBorder="1" applyAlignment="1">
      <alignment vertical="center"/>
    </xf>
    <xf numFmtId="0" fontId="0" fillId="0" borderId="98" xfId="0" applyBorder="1" applyAlignment="1">
      <alignment horizontal="center" vertical="center"/>
    </xf>
    <xf numFmtId="2" fontId="0" fillId="0" borderId="98" xfId="0" applyNumberFormat="1" applyBorder="1" applyAlignment="1">
      <alignment vertical="center"/>
    </xf>
    <xf numFmtId="0" fontId="0" fillId="0" borderId="111" xfId="0" applyBorder="1" applyAlignment="1">
      <alignment horizontal="center" vertical="center"/>
    </xf>
    <xf numFmtId="2" fontId="0" fillId="0" borderId="111" xfId="0" applyNumberFormat="1" applyBorder="1" applyAlignment="1">
      <alignment vertical="center"/>
    </xf>
    <xf numFmtId="0" fontId="3" fillId="0" borderId="105" xfId="0" applyFont="1" applyBorder="1" applyAlignment="1">
      <alignment vertical="center"/>
    </xf>
    <xf numFmtId="0" fontId="3" fillId="0" borderId="108" xfId="0" applyFont="1" applyBorder="1" applyAlignment="1">
      <alignment vertical="center"/>
    </xf>
    <xf numFmtId="0" fontId="3" fillId="0" borderId="111" xfId="0" applyFont="1" applyBorder="1" applyAlignment="1">
      <alignment vertical="center"/>
    </xf>
    <xf numFmtId="0" fontId="3" fillId="0" borderId="98" xfId="0" applyFont="1" applyBorder="1" applyAlignment="1">
      <alignment vertical="center"/>
    </xf>
    <xf numFmtId="0" fontId="0" fillId="0" borderId="98" xfId="0" applyBorder="1" applyAlignment="1">
      <alignment horizontal="left" vertical="center"/>
    </xf>
    <xf numFmtId="0" fontId="0" fillId="0" borderId="101" xfId="0" applyBorder="1" applyAlignment="1">
      <alignment vertical="center"/>
    </xf>
    <xf numFmtId="0" fontId="26" fillId="9" borderId="53" xfId="0" applyFont="1" applyFill="1" applyBorder="1" applyAlignment="1">
      <alignment horizontal="center" vertical="center"/>
    </xf>
    <xf numFmtId="0" fontId="26" fillId="10" borderId="53" xfId="0" applyFont="1" applyFill="1" applyBorder="1" applyAlignment="1">
      <alignment horizontal="center" vertical="center"/>
    </xf>
    <xf numFmtId="0" fontId="3" fillId="0" borderId="53" xfId="0" applyFont="1" applyBorder="1" applyAlignment="1">
      <alignment vertical="center"/>
    </xf>
    <xf numFmtId="0" fontId="3" fillId="9" borderId="53" xfId="0" applyFont="1" applyFill="1" applyBorder="1" applyAlignment="1">
      <alignment vertical="center"/>
    </xf>
    <xf numFmtId="0" fontId="14" fillId="0" borderId="53" xfId="0" applyFont="1" applyBorder="1" applyAlignment="1">
      <alignment vertical="center" wrapText="1"/>
    </xf>
    <xf numFmtId="0" fontId="0" fillId="0" borderId="53" xfId="0" applyBorder="1" applyAlignment="1">
      <alignment horizontal="left" vertical="center"/>
    </xf>
    <xf numFmtId="0" fontId="0" fillId="10" borderId="53" xfId="0" applyFill="1" applyBorder="1" applyAlignment="1">
      <alignment horizontal="center" vertical="center"/>
    </xf>
    <xf numFmtId="0" fontId="44" fillId="0" borderId="0" xfId="0" applyFont="1"/>
    <xf numFmtId="168" fontId="0" fillId="9" borderId="53" xfId="0" applyNumberFormat="1" applyFill="1" applyBorder="1" applyAlignment="1">
      <alignment horizontal="center" vertical="center"/>
    </xf>
    <xf numFmtId="168" fontId="3" fillId="9" borderId="53" xfId="0" applyNumberFormat="1" applyFont="1" applyFill="1" applyBorder="1" applyAlignment="1">
      <alignment horizontal="center" vertical="center"/>
    </xf>
    <xf numFmtId="166" fontId="3" fillId="0" borderId="53" xfId="0" applyNumberFormat="1" applyFont="1" applyBorder="1" applyAlignment="1">
      <alignment horizontal="center" vertical="center"/>
    </xf>
    <xf numFmtId="43" fontId="14" fillId="21" borderId="103" xfId="2" applyFont="1" applyFill="1" applyBorder="1" applyAlignment="1">
      <alignment vertical="center"/>
    </xf>
    <xf numFmtId="0" fontId="14" fillId="21" borderId="104" xfId="0" applyFont="1" applyFill="1" applyBorder="1" applyAlignment="1">
      <alignment horizontal="center" vertical="center"/>
    </xf>
    <xf numFmtId="0" fontId="14" fillId="21" borderId="108" xfId="0" applyFont="1" applyFill="1" applyBorder="1" applyAlignment="1">
      <alignment horizontal="center" vertical="center"/>
    </xf>
    <xf numFmtId="43" fontId="14" fillId="21" borderId="109" xfId="2" applyFont="1" applyFill="1" applyBorder="1" applyAlignment="1">
      <alignment vertical="center"/>
    </xf>
    <xf numFmtId="0" fontId="14" fillId="3" borderId="0" xfId="0" applyFont="1" applyFill="1"/>
    <xf numFmtId="0" fontId="0" fillId="12" borderId="105" xfId="0" applyFill="1" applyBorder="1" applyAlignment="1">
      <alignment horizontal="center"/>
    </xf>
    <xf numFmtId="0" fontId="0" fillId="12" borderId="111" xfId="0" applyFill="1" applyBorder="1" applyAlignment="1">
      <alignment horizontal="center"/>
    </xf>
    <xf numFmtId="0" fontId="0" fillId="12" borderId="108" xfId="0" applyFill="1" applyBorder="1" applyAlignment="1">
      <alignment horizontal="center"/>
    </xf>
    <xf numFmtId="43" fontId="3" fillId="12" borderId="112" xfId="2" applyFont="1" applyFill="1" applyBorder="1" applyAlignment="1">
      <alignment vertical="center"/>
    </xf>
    <xf numFmtId="44" fontId="3" fillId="11" borderId="61" xfId="1" applyFont="1" applyFill="1" applyBorder="1" applyAlignment="1">
      <alignment vertical="center"/>
    </xf>
    <xf numFmtId="0" fontId="3" fillId="11" borderId="105" xfId="0" applyFont="1" applyFill="1" applyBorder="1" applyAlignment="1">
      <alignment vertical="center"/>
    </xf>
    <xf numFmtId="44" fontId="3" fillId="11" borderId="105" xfId="1" applyFont="1" applyFill="1" applyBorder="1" applyAlignment="1">
      <alignment vertical="center"/>
    </xf>
    <xf numFmtId="0" fontId="3" fillId="11" borderId="105" xfId="0" applyFont="1" applyFill="1" applyBorder="1" applyAlignment="1">
      <alignment horizontal="center" vertical="center"/>
    </xf>
    <xf numFmtId="2" fontId="3" fillId="11" borderId="117" xfId="1" applyNumberFormat="1" applyFont="1" applyFill="1" applyBorder="1" applyAlignment="1">
      <alignment vertical="center"/>
    </xf>
    <xf numFmtId="0" fontId="3" fillId="11" borderId="111" xfId="0" applyFont="1" applyFill="1" applyBorder="1" applyAlignment="1">
      <alignment vertical="center"/>
    </xf>
    <xf numFmtId="44" fontId="3" fillId="11" borderId="111" xfId="1" applyFont="1" applyFill="1" applyBorder="1" applyAlignment="1">
      <alignment vertical="center"/>
    </xf>
    <xf numFmtId="0" fontId="3" fillId="11" borderId="111" xfId="0" applyFont="1" applyFill="1" applyBorder="1" applyAlignment="1">
      <alignment horizontal="center" vertical="center"/>
    </xf>
    <xf numFmtId="2" fontId="3" fillId="11" borderId="111" xfId="0" applyNumberFormat="1" applyFont="1" applyFill="1" applyBorder="1" applyAlignment="1">
      <alignment vertical="center"/>
    </xf>
    <xf numFmtId="2" fontId="3" fillId="11" borderId="118" xfId="0" applyNumberFormat="1" applyFont="1" applyFill="1" applyBorder="1" applyAlignment="1">
      <alignment vertical="center"/>
    </xf>
    <xf numFmtId="0" fontId="3" fillId="11" borderId="108" xfId="0" applyFont="1" applyFill="1" applyBorder="1" applyAlignment="1">
      <alignment vertical="center"/>
    </xf>
    <xf numFmtId="44" fontId="3" fillId="11" borderId="108" xfId="1" applyFont="1" applyFill="1" applyBorder="1" applyAlignment="1">
      <alignment vertical="center"/>
    </xf>
    <xf numFmtId="0" fontId="3" fillId="11" borderId="108" xfId="0" applyFont="1" applyFill="1" applyBorder="1" applyAlignment="1">
      <alignment horizontal="center" vertical="center"/>
    </xf>
    <xf numFmtId="2" fontId="3" fillId="11" borderId="108" xfId="0" applyNumberFormat="1" applyFont="1" applyFill="1" applyBorder="1" applyAlignment="1">
      <alignment vertical="center"/>
    </xf>
    <xf numFmtId="44" fontId="0" fillId="4" borderId="58" xfId="1" applyFont="1" applyFill="1" applyBorder="1" applyAlignment="1">
      <alignment horizontal="center" vertical="center"/>
    </xf>
    <xf numFmtId="0" fontId="0" fillId="4" borderId="58" xfId="0" applyFill="1" applyBorder="1" applyAlignment="1">
      <alignment horizontal="center" vertical="center"/>
    </xf>
    <xf numFmtId="0" fontId="0" fillId="4" borderId="69" xfId="0" applyFill="1" applyBorder="1" applyAlignment="1">
      <alignment horizontal="center" vertical="center"/>
    </xf>
    <xf numFmtId="44" fontId="0" fillId="4" borderId="61" xfId="1" applyFont="1" applyFill="1" applyBorder="1" applyAlignment="1">
      <alignment horizontal="center" vertical="center"/>
    </xf>
    <xf numFmtId="44" fontId="0" fillId="4" borderId="55" xfId="1" applyFont="1" applyFill="1" applyBorder="1" applyAlignment="1">
      <alignment horizontal="center" vertical="center"/>
    </xf>
    <xf numFmtId="0" fontId="0" fillId="4" borderId="55" xfId="0" applyFill="1" applyBorder="1" applyAlignment="1">
      <alignment vertical="center"/>
    </xf>
    <xf numFmtId="2" fontId="3" fillId="11" borderId="118" xfId="1" applyNumberFormat="1" applyFont="1" applyFill="1" applyBorder="1" applyAlignment="1">
      <alignment vertical="center"/>
    </xf>
    <xf numFmtId="2" fontId="3" fillId="11" borderId="119" xfId="1" applyNumberFormat="1" applyFont="1" applyFill="1" applyBorder="1" applyAlignment="1">
      <alignment vertical="center"/>
    </xf>
    <xf numFmtId="2" fontId="0" fillId="12" borderId="79" xfId="0" applyNumberFormat="1" applyFill="1" applyBorder="1" applyAlignment="1">
      <alignment vertical="center"/>
    </xf>
    <xf numFmtId="44" fontId="0" fillId="12" borderId="72" xfId="1" applyFont="1" applyFill="1" applyBorder="1" applyAlignment="1">
      <alignment horizontal="center" vertical="center"/>
    </xf>
    <xf numFmtId="0" fontId="0" fillId="12" borderId="72" xfId="0" applyFill="1" applyBorder="1" applyAlignment="1">
      <alignment horizontal="center" vertical="center"/>
    </xf>
    <xf numFmtId="0" fontId="0" fillId="12" borderId="72" xfId="0" applyFill="1" applyBorder="1" applyAlignment="1">
      <alignment vertical="center"/>
    </xf>
    <xf numFmtId="0" fontId="0" fillId="0" borderId="0" xfId="4" applyNumberFormat="1" applyFont="1" applyAlignment="1">
      <alignment vertical="center"/>
    </xf>
    <xf numFmtId="0" fontId="17" fillId="0" borderId="7" xfId="0" applyFont="1" applyBorder="1" applyAlignment="1">
      <alignment horizontal="center" vertical="center"/>
    </xf>
    <xf numFmtId="2" fontId="17" fillId="0" borderId="8" xfId="0" applyNumberFormat="1" applyFont="1" applyBorder="1" applyAlignment="1">
      <alignment horizontal="center" vertical="center"/>
    </xf>
    <xf numFmtId="0" fontId="17" fillId="0" borderId="0" xfId="0" applyFont="1"/>
    <xf numFmtId="0" fontId="23" fillId="0" borderId="0" xfId="0" applyFont="1"/>
    <xf numFmtId="0" fontId="0" fillId="4" borderId="123" xfId="0" applyFill="1" applyBorder="1" applyAlignment="1">
      <alignment horizontal="center" vertical="center"/>
    </xf>
    <xf numFmtId="0" fontId="0" fillId="4" borderId="124" xfId="0" applyFill="1" applyBorder="1" applyAlignment="1">
      <alignment horizontal="center" vertical="center"/>
    </xf>
    <xf numFmtId="0" fontId="0" fillId="4" borderId="125" xfId="0" applyFill="1" applyBorder="1" applyAlignment="1">
      <alignment horizontal="center" vertical="center"/>
    </xf>
    <xf numFmtId="0" fontId="0" fillId="4" borderId="33" xfId="0" applyFill="1" applyBorder="1" applyAlignment="1">
      <alignment horizontal="center" vertical="center"/>
    </xf>
    <xf numFmtId="0" fontId="26" fillId="13" borderId="0" xfId="0" applyFont="1" applyFill="1" applyAlignment="1">
      <alignment horizontal="left" vertical="center"/>
    </xf>
    <xf numFmtId="0" fontId="38" fillId="13" borderId="0" xfId="0" applyFont="1" applyFill="1" applyAlignment="1">
      <alignment horizontal="left" vertical="center"/>
    </xf>
    <xf numFmtId="44" fontId="0" fillId="12" borderId="64" xfId="1" applyFont="1" applyFill="1" applyBorder="1" applyAlignment="1">
      <alignment horizontal="center" vertical="center"/>
    </xf>
    <xf numFmtId="0" fontId="0" fillId="12" borderId="64" xfId="0" applyFill="1" applyBorder="1" applyAlignment="1">
      <alignment horizontal="center" vertical="center"/>
    </xf>
    <xf numFmtId="0" fontId="0" fillId="12" borderId="64" xfId="0" applyFill="1" applyBorder="1" applyAlignment="1">
      <alignment vertical="center"/>
    </xf>
    <xf numFmtId="0" fontId="0" fillId="12" borderId="57" xfId="0" applyFill="1" applyBorder="1" applyAlignment="1">
      <alignment vertical="center"/>
    </xf>
    <xf numFmtId="0" fontId="0" fillId="12" borderId="71" xfId="0" applyFill="1" applyBorder="1" applyAlignment="1">
      <alignment vertical="center"/>
    </xf>
    <xf numFmtId="44" fontId="3" fillId="11" borderId="135" xfId="1" applyFont="1" applyFill="1" applyBorder="1" applyAlignment="1">
      <alignment vertical="center"/>
    </xf>
    <xf numFmtId="2" fontId="3" fillId="11" borderId="136" xfId="0" applyNumberFormat="1" applyFont="1" applyFill="1" applyBorder="1" applyAlignment="1">
      <alignment vertical="center"/>
    </xf>
    <xf numFmtId="2" fontId="3" fillId="11" borderId="129" xfId="0" applyNumberFormat="1" applyFont="1" applyFill="1" applyBorder="1" applyAlignment="1">
      <alignment vertical="center"/>
    </xf>
    <xf numFmtId="44" fontId="3" fillId="11" borderId="121" xfId="1" applyFont="1" applyFill="1" applyBorder="1" applyAlignment="1">
      <alignment vertical="center"/>
    </xf>
    <xf numFmtId="2" fontId="3" fillId="11" borderId="110" xfId="0" applyNumberFormat="1" applyFont="1" applyFill="1" applyBorder="1" applyAlignment="1">
      <alignment vertical="center"/>
    </xf>
    <xf numFmtId="0" fontId="0" fillId="11" borderId="79" xfId="0" applyFill="1" applyBorder="1" applyAlignment="1">
      <alignment vertical="center"/>
    </xf>
    <xf numFmtId="164" fontId="0" fillId="11" borderId="72" xfId="0" applyNumberFormat="1" applyFill="1" applyBorder="1" applyAlignment="1">
      <alignment vertical="center"/>
    </xf>
    <xf numFmtId="0" fontId="0" fillId="12" borderId="112" xfId="4" applyNumberFormat="1" applyFont="1" applyFill="1" applyBorder="1" applyAlignment="1">
      <alignment horizontal="center" vertical="center"/>
    </xf>
    <xf numFmtId="43" fontId="0" fillId="12" borderId="109" xfId="0" applyNumberFormat="1" applyFill="1" applyBorder="1" applyAlignment="1">
      <alignment horizontal="center" vertical="center"/>
    </xf>
    <xf numFmtId="43" fontId="3" fillId="12" borderId="109" xfId="2" applyFont="1" applyFill="1" applyBorder="1" applyAlignment="1">
      <alignment horizontal="center" vertical="center"/>
    </xf>
    <xf numFmtId="0" fontId="0" fillId="12" borderId="106" xfId="4" applyNumberFormat="1" applyFont="1" applyFill="1" applyBorder="1" applyAlignment="1">
      <alignment horizontal="center" vertical="center"/>
    </xf>
    <xf numFmtId="0" fontId="0" fillId="12" borderId="109" xfId="4" applyNumberFormat="1" applyFont="1" applyFill="1" applyBorder="1" applyAlignment="1">
      <alignment horizontal="center" vertical="center"/>
    </xf>
    <xf numFmtId="0" fontId="2" fillId="0" borderId="0" xfId="0" applyFont="1"/>
    <xf numFmtId="2" fontId="3" fillId="11" borderId="105" xfId="0" applyNumberFormat="1" applyFont="1" applyFill="1" applyBorder="1" applyAlignment="1">
      <alignment vertical="center"/>
    </xf>
    <xf numFmtId="43" fontId="26" fillId="2" borderId="103" xfId="2" applyFont="1" applyFill="1" applyBorder="1" applyAlignment="1">
      <alignment vertical="center"/>
    </xf>
    <xf numFmtId="43" fontId="26" fillId="2" borderId="137" xfId="2" applyFont="1" applyFill="1" applyBorder="1" applyAlignment="1">
      <alignment vertical="center"/>
    </xf>
    <xf numFmtId="0" fontId="0" fillId="0" borderId="50" xfId="0" applyBorder="1" applyAlignment="1">
      <alignment vertical="center"/>
    </xf>
    <xf numFmtId="0" fontId="0" fillId="0" borderId="97" xfId="0" applyBorder="1" applyAlignment="1">
      <alignment vertical="center"/>
    </xf>
    <xf numFmtId="0" fontId="0" fillId="12" borderId="134" xfId="0" applyFill="1" applyBorder="1" applyAlignment="1">
      <alignment horizontal="center" vertical="center"/>
    </xf>
    <xf numFmtId="43" fontId="26" fillId="2" borderId="112" xfId="2" applyFont="1" applyFill="1" applyBorder="1" applyAlignment="1">
      <alignment vertical="center"/>
    </xf>
    <xf numFmtId="0" fontId="14" fillId="2" borderId="0" xfId="0" applyFont="1" applyFill="1"/>
    <xf numFmtId="2" fontId="3" fillId="11" borderId="136" xfId="0" applyNumberFormat="1" applyFont="1" applyFill="1" applyBorder="1" applyAlignment="1">
      <alignment horizontal="right" vertical="center"/>
    </xf>
    <xf numFmtId="2" fontId="3" fillId="11" borderId="111" xfId="0" applyNumberFormat="1" applyFont="1" applyFill="1" applyBorder="1" applyAlignment="1">
      <alignment horizontal="right" vertical="center"/>
    </xf>
    <xf numFmtId="2" fontId="3" fillId="11" borderId="108" xfId="0" applyNumberFormat="1" applyFont="1" applyFill="1" applyBorder="1" applyAlignment="1">
      <alignment horizontal="right" vertical="center"/>
    </xf>
    <xf numFmtId="0" fontId="3" fillId="11" borderId="105" xfId="0" applyFont="1" applyFill="1" applyBorder="1" applyAlignment="1">
      <alignment horizontal="right" vertical="center"/>
    </xf>
    <xf numFmtId="0" fontId="3" fillId="11" borderId="111" xfId="0" applyFont="1" applyFill="1" applyBorder="1" applyAlignment="1">
      <alignment horizontal="right" vertical="center"/>
    </xf>
    <xf numFmtId="0" fontId="3" fillId="11" borderId="108" xfId="0" applyFont="1" applyFill="1" applyBorder="1" applyAlignment="1">
      <alignment horizontal="right" vertical="center"/>
    </xf>
    <xf numFmtId="0" fontId="3" fillId="11" borderId="105" xfId="0" applyFont="1" applyFill="1" applyBorder="1" applyAlignment="1">
      <alignment horizontal="left" vertical="center"/>
    </xf>
    <xf numFmtId="0" fontId="3" fillId="11" borderId="111" xfId="0" applyFont="1" applyFill="1" applyBorder="1" applyAlignment="1">
      <alignment horizontal="left" vertical="center"/>
    </xf>
    <xf numFmtId="0" fontId="3" fillId="11" borderId="108" xfId="0" applyFont="1" applyFill="1" applyBorder="1" applyAlignment="1">
      <alignment horizontal="left" vertical="center"/>
    </xf>
    <xf numFmtId="0" fontId="3" fillId="11" borderId="111" xfId="0" quotePrefix="1" applyFont="1" applyFill="1" applyBorder="1" applyAlignment="1">
      <alignment horizontal="center" vertical="center"/>
    </xf>
    <xf numFmtId="0" fontId="0" fillId="21" borderId="138" xfId="0" applyFill="1" applyBorder="1" applyAlignment="1">
      <alignment vertical="center"/>
    </xf>
    <xf numFmtId="0" fontId="0" fillId="21" borderId="139" xfId="0" applyFill="1" applyBorder="1" applyAlignment="1">
      <alignment vertical="center"/>
    </xf>
    <xf numFmtId="0" fontId="0" fillId="21" borderId="140" xfId="0" applyFill="1" applyBorder="1" applyAlignment="1">
      <alignment vertical="center"/>
    </xf>
    <xf numFmtId="0" fontId="14" fillId="21" borderId="145" xfId="0" applyFont="1" applyFill="1" applyBorder="1" applyAlignment="1">
      <alignment vertical="center"/>
    </xf>
    <xf numFmtId="0" fontId="14" fillId="13" borderId="0" xfId="0" applyFont="1" applyFill="1"/>
    <xf numFmtId="0" fontId="0" fillId="13" borderId="0" xfId="0" applyFill="1" applyAlignment="1">
      <alignment horizontal="center"/>
    </xf>
    <xf numFmtId="0" fontId="0" fillId="11" borderId="138" xfId="0" applyFill="1" applyBorder="1"/>
    <xf numFmtId="0" fontId="0" fillId="11" borderId="105" xfId="0" applyFill="1" applyBorder="1" applyAlignment="1">
      <alignment horizontal="center"/>
    </xf>
    <xf numFmtId="171" fontId="3" fillId="11" borderId="142" xfId="2" applyNumberFormat="1" applyFont="1" applyFill="1" applyBorder="1" applyAlignment="1">
      <alignment vertical="center"/>
    </xf>
    <xf numFmtId="0" fontId="0" fillId="11" borderId="139" xfId="0" applyFill="1" applyBorder="1"/>
    <xf numFmtId="0" fontId="0" fillId="11" borderId="111" xfId="0" applyFill="1" applyBorder="1" applyAlignment="1">
      <alignment horizontal="center"/>
    </xf>
    <xf numFmtId="171" fontId="3" fillId="11" borderId="143" xfId="2" applyNumberFormat="1" applyFont="1" applyFill="1" applyBorder="1" applyAlignment="1">
      <alignment vertical="center"/>
    </xf>
    <xf numFmtId="0" fontId="0" fillId="11" borderId="140" xfId="0" applyFill="1" applyBorder="1"/>
    <xf numFmtId="0" fontId="0" fillId="11" borderId="108" xfId="0" applyFill="1" applyBorder="1" applyAlignment="1">
      <alignment horizontal="center"/>
    </xf>
    <xf numFmtId="171" fontId="3" fillId="11" borderId="144" xfId="2" applyNumberFormat="1" applyFont="1" applyFill="1" applyBorder="1" applyAlignment="1">
      <alignment vertical="center"/>
    </xf>
    <xf numFmtId="0" fontId="14" fillId="19" borderId="141" xfId="0" applyFont="1" applyFill="1" applyBorder="1"/>
    <xf numFmtId="0" fontId="14" fillId="19" borderId="98" xfId="0" applyFont="1" applyFill="1" applyBorder="1" applyAlignment="1">
      <alignment horizontal="center"/>
    </xf>
    <xf numFmtId="0" fontId="0" fillId="13" borderId="0" xfId="0" applyFill="1"/>
    <xf numFmtId="9" fontId="0" fillId="11" borderId="146" xfId="4" applyFont="1" applyFill="1" applyBorder="1"/>
    <xf numFmtId="9" fontId="0" fillId="11" borderId="147" xfId="4" applyFont="1" applyFill="1" applyBorder="1"/>
    <xf numFmtId="9" fontId="0" fillId="11" borderId="148" xfId="4" applyFont="1" applyFill="1" applyBorder="1"/>
    <xf numFmtId="9" fontId="14" fillId="19" borderId="149" xfId="4" applyFont="1" applyFill="1" applyBorder="1"/>
    <xf numFmtId="171" fontId="3" fillId="11" borderId="150" xfId="2" applyNumberFormat="1" applyFont="1" applyFill="1" applyBorder="1" applyAlignment="1">
      <alignment vertical="center"/>
    </xf>
    <xf numFmtId="171" fontId="3" fillId="11" borderId="151" xfId="2" applyNumberFormat="1" applyFont="1" applyFill="1" applyBorder="1" applyAlignment="1">
      <alignment vertical="center"/>
    </xf>
    <xf numFmtId="0" fontId="0" fillId="0" borderId="152" xfId="0" applyBorder="1"/>
    <xf numFmtId="44" fontId="0" fillId="0" borderId="152" xfId="0" applyNumberFormat="1" applyBorder="1"/>
    <xf numFmtId="171" fontId="3" fillId="11" borderId="153" xfId="2" applyNumberFormat="1" applyFont="1" applyFill="1" applyBorder="1" applyAlignment="1">
      <alignment vertical="center"/>
    </xf>
    <xf numFmtId="171" fontId="3" fillId="11" borderId="154" xfId="2" applyNumberFormat="1" applyFont="1" applyFill="1" applyBorder="1" applyAlignment="1">
      <alignment vertical="center"/>
    </xf>
    <xf numFmtId="171" fontId="3" fillId="19" borderId="155" xfId="2" applyNumberFormat="1" applyFont="1" applyFill="1" applyBorder="1" applyAlignment="1">
      <alignment vertical="center"/>
    </xf>
    <xf numFmtId="171" fontId="3" fillId="19" borderId="156" xfId="2" applyNumberFormat="1" applyFont="1" applyFill="1" applyBorder="1" applyAlignment="1">
      <alignment vertical="center"/>
    </xf>
    <xf numFmtId="9" fontId="0" fillId="0" borderId="0" xfId="0" applyNumberFormat="1"/>
    <xf numFmtId="166" fontId="0" fillId="0" borderId="0" xfId="0" applyNumberFormat="1"/>
    <xf numFmtId="167" fontId="3" fillId="0" borderId="0" xfId="0" applyNumberFormat="1"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0" fillId="0" borderId="2" xfId="0" applyBorder="1" applyAlignment="1">
      <alignment vertical="center"/>
    </xf>
    <xf numFmtId="0" fontId="0" fillId="0" borderId="0" xfId="0" applyAlignment="1">
      <alignment horizontal="left" vertical="center"/>
    </xf>
    <xf numFmtId="0" fontId="3" fillId="14" borderId="145" xfId="0" applyFont="1" applyFill="1" applyBorder="1" applyAlignment="1">
      <alignment horizontal="left" vertical="center"/>
    </xf>
    <xf numFmtId="0" fontId="3" fillId="14" borderId="98" xfId="0" applyFont="1" applyFill="1" applyBorder="1" applyAlignment="1">
      <alignment horizontal="center" vertical="center"/>
    </xf>
    <xf numFmtId="0" fontId="3" fillId="14" borderId="104" xfId="0" applyFont="1" applyFill="1" applyBorder="1" applyAlignment="1">
      <alignment horizontal="center" vertical="center"/>
    </xf>
    <xf numFmtId="0" fontId="0" fillId="4" borderId="145" xfId="0" applyFill="1" applyBorder="1" applyAlignment="1">
      <alignment horizontal="left" vertical="center" wrapText="1"/>
    </xf>
    <xf numFmtId="0" fontId="0" fillId="4" borderId="98" xfId="0" applyFill="1" applyBorder="1" applyAlignment="1">
      <alignment horizontal="center" vertical="center" wrapText="1"/>
    </xf>
    <xf numFmtId="3" fontId="3" fillId="4" borderId="166" xfId="0" applyNumberFormat="1" applyFont="1" applyFill="1" applyBorder="1" applyAlignment="1">
      <alignment horizontal="center" vertical="center"/>
    </xf>
    <xf numFmtId="3" fontId="3" fillId="4" borderId="167" xfId="0" applyNumberFormat="1" applyFont="1" applyFill="1" applyBorder="1" applyAlignment="1">
      <alignment horizontal="center" vertical="center"/>
    </xf>
    <xf numFmtId="3" fontId="3" fillId="4" borderId="168" xfId="0" applyNumberFormat="1" applyFont="1" applyFill="1" applyBorder="1" applyAlignment="1">
      <alignment horizontal="center" vertical="center"/>
    </xf>
    <xf numFmtId="0" fontId="0" fillId="4" borderId="138" xfId="0" applyFill="1" applyBorder="1" applyAlignment="1">
      <alignment horizontal="left" vertical="center" wrapText="1"/>
    </xf>
    <xf numFmtId="0" fontId="0" fillId="4" borderId="107" xfId="0" applyFill="1" applyBorder="1" applyAlignment="1">
      <alignment horizontal="center" vertical="center"/>
    </xf>
    <xf numFmtId="3" fontId="3" fillId="4" borderId="157" xfId="0" applyNumberFormat="1" applyFont="1" applyFill="1" applyBorder="1" applyAlignment="1">
      <alignment horizontal="center" vertical="center"/>
    </xf>
    <xf numFmtId="3" fontId="3" fillId="4" borderId="158" xfId="0" applyNumberFormat="1" applyFont="1" applyFill="1" applyBorder="1" applyAlignment="1">
      <alignment horizontal="center" vertical="center"/>
    </xf>
    <xf numFmtId="3" fontId="3" fillId="4" borderId="159" xfId="0" applyNumberFormat="1" applyFont="1" applyFill="1" applyBorder="1" applyAlignment="1">
      <alignment horizontal="center" vertical="center"/>
    </xf>
    <xf numFmtId="0" fontId="0" fillId="4" borderId="139" xfId="0" applyFill="1" applyBorder="1" applyAlignment="1">
      <alignment horizontal="left" vertical="center" wrapText="1"/>
    </xf>
    <xf numFmtId="0" fontId="0" fillId="4" borderId="111" xfId="0" applyFill="1" applyBorder="1" applyAlignment="1">
      <alignment horizontal="center" vertical="center" wrapText="1"/>
    </xf>
    <xf numFmtId="3" fontId="3" fillId="4" borderId="160" xfId="0" applyNumberFormat="1" applyFont="1" applyFill="1" applyBorder="1" applyAlignment="1">
      <alignment horizontal="center" vertical="center"/>
    </xf>
    <xf numFmtId="3" fontId="3" fillId="4" borderId="161" xfId="0" applyNumberFormat="1" applyFont="1" applyFill="1" applyBorder="1" applyAlignment="1">
      <alignment horizontal="center" vertical="center"/>
    </xf>
    <xf numFmtId="3" fontId="3" fillId="4" borderId="162" xfId="0" applyNumberFormat="1" applyFont="1" applyFill="1" applyBorder="1" applyAlignment="1">
      <alignment horizontal="center" vertical="center"/>
    </xf>
    <xf numFmtId="0" fontId="0" fillId="4" borderId="140" xfId="0" applyFill="1" applyBorder="1" applyAlignment="1">
      <alignment horizontal="left" vertical="center" wrapText="1"/>
    </xf>
    <xf numFmtId="0" fontId="0" fillId="4" borderId="108" xfId="0" applyFill="1" applyBorder="1" applyAlignment="1">
      <alignment horizontal="center" vertical="center" wrapText="1"/>
    </xf>
    <xf numFmtId="0" fontId="0" fillId="4" borderId="110" xfId="0" applyFill="1" applyBorder="1" applyAlignment="1">
      <alignment horizontal="center" vertical="center" wrapText="1"/>
    </xf>
    <xf numFmtId="3" fontId="3" fillId="4" borderId="163" xfId="0" applyNumberFormat="1" applyFont="1" applyFill="1" applyBorder="1" applyAlignment="1">
      <alignment horizontal="center" vertical="center"/>
    </xf>
    <xf numFmtId="3" fontId="3" fillId="4" borderId="164" xfId="0" applyNumberFormat="1" applyFont="1" applyFill="1" applyBorder="1" applyAlignment="1">
      <alignment horizontal="center" vertical="center"/>
    </xf>
    <xf numFmtId="3" fontId="3" fillId="4" borderId="165" xfId="0" applyNumberFormat="1" applyFont="1" applyFill="1" applyBorder="1" applyAlignment="1">
      <alignment horizontal="center" vertical="center"/>
    </xf>
    <xf numFmtId="0" fontId="3" fillId="4" borderId="172" xfId="0" applyFont="1" applyFill="1" applyBorder="1" applyAlignment="1">
      <alignment horizontal="left" vertical="center"/>
    </xf>
    <xf numFmtId="0" fontId="3" fillId="4" borderId="133" xfId="0" applyFont="1" applyFill="1" applyBorder="1" applyAlignment="1">
      <alignment horizontal="center" vertical="center"/>
    </xf>
    <xf numFmtId="0" fontId="3" fillId="4" borderId="173" xfId="0" applyFont="1" applyFill="1" applyBorder="1" applyAlignment="1">
      <alignment horizontal="center" vertical="center"/>
    </xf>
    <xf numFmtId="0" fontId="0" fillId="4" borderId="169" xfId="0" applyFill="1" applyBorder="1" applyAlignment="1">
      <alignment horizontal="center" vertical="center"/>
    </xf>
    <xf numFmtId="0" fontId="0" fillId="4" borderId="170" xfId="0" applyFill="1" applyBorder="1" applyAlignment="1">
      <alignment horizontal="center" vertical="center"/>
    </xf>
    <xf numFmtId="0" fontId="0" fillId="4" borderId="171" xfId="0" applyFill="1" applyBorder="1" applyAlignment="1">
      <alignment horizontal="center" vertical="center"/>
    </xf>
    <xf numFmtId="0" fontId="3" fillId="4" borderId="139" xfId="0" applyFont="1" applyFill="1" applyBorder="1" applyAlignment="1">
      <alignment horizontal="left" vertical="center"/>
    </xf>
    <xf numFmtId="0" fontId="3" fillId="4" borderId="111" xfId="0" applyFont="1" applyFill="1" applyBorder="1" applyAlignment="1">
      <alignment horizontal="center" vertical="center"/>
    </xf>
    <xf numFmtId="0" fontId="3" fillId="4" borderId="129" xfId="0" applyFont="1" applyFill="1" applyBorder="1" applyAlignment="1">
      <alignment horizontal="center" vertical="center"/>
    </xf>
    <xf numFmtId="169" fontId="3" fillId="4" borderId="160" xfId="0" applyNumberFormat="1" applyFont="1" applyFill="1" applyBorder="1" applyAlignment="1">
      <alignment horizontal="center" vertical="center"/>
    </xf>
    <xf numFmtId="169" fontId="3" fillId="4" borderId="161" xfId="0" applyNumberFormat="1" applyFont="1" applyFill="1" applyBorder="1" applyAlignment="1">
      <alignment horizontal="center" vertical="center"/>
    </xf>
    <xf numFmtId="169" fontId="3" fillId="4" borderId="162" xfId="0" applyNumberFormat="1" applyFont="1" applyFill="1" applyBorder="1" applyAlignment="1">
      <alignment horizontal="center" vertical="center"/>
    </xf>
    <xf numFmtId="167" fontId="3" fillId="4" borderId="139" xfId="0" applyNumberFormat="1" applyFont="1" applyFill="1" applyBorder="1" applyAlignment="1">
      <alignment horizontal="left" vertical="center"/>
    </xf>
    <xf numFmtId="167" fontId="21" fillId="4" borderId="111" xfId="0" applyNumberFormat="1" applyFont="1" applyFill="1" applyBorder="1" applyAlignment="1">
      <alignment horizontal="center" vertical="center"/>
    </xf>
    <xf numFmtId="167" fontId="3" fillId="4" borderId="129" xfId="0" applyNumberFormat="1" applyFont="1" applyFill="1" applyBorder="1" applyAlignment="1">
      <alignment horizontal="center" vertical="center"/>
    </xf>
    <xf numFmtId="170" fontId="3" fillId="4" borderId="160" xfId="0" applyNumberFormat="1" applyFont="1" applyFill="1" applyBorder="1" applyAlignment="1">
      <alignment horizontal="center" vertical="center"/>
    </xf>
    <xf numFmtId="170" fontId="3" fillId="4" borderId="161" xfId="0" applyNumberFormat="1" applyFont="1" applyFill="1" applyBorder="1" applyAlignment="1">
      <alignment horizontal="center" vertical="center"/>
    </xf>
    <xf numFmtId="170" fontId="3" fillId="4" borderId="162" xfId="0" applyNumberFormat="1" applyFont="1" applyFill="1" applyBorder="1" applyAlignment="1">
      <alignment horizontal="center" vertical="center"/>
    </xf>
    <xf numFmtId="4" fontId="3" fillId="4" borderId="160" xfId="0" applyNumberFormat="1" applyFont="1" applyFill="1" applyBorder="1" applyAlignment="1">
      <alignment horizontal="center" vertical="center"/>
    </xf>
    <xf numFmtId="4" fontId="3" fillId="4" borderId="161" xfId="0" applyNumberFormat="1" applyFont="1" applyFill="1" applyBorder="1" applyAlignment="1">
      <alignment horizontal="center" vertical="center"/>
    </xf>
    <xf numFmtId="4" fontId="3" fillId="4" borderId="162" xfId="0" applyNumberFormat="1" applyFont="1" applyFill="1" applyBorder="1" applyAlignment="1">
      <alignment horizontal="center" vertical="center"/>
    </xf>
    <xf numFmtId="0" fontId="3" fillId="4" borderId="140" xfId="0" applyFont="1" applyFill="1" applyBorder="1" applyAlignment="1">
      <alignment horizontal="left" vertical="center"/>
    </xf>
    <xf numFmtId="0" fontId="21" fillId="4" borderId="108" xfId="0" applyFont="1" applyFill="1" applyBorder="1" applyAlignment="1">
      <alignment horizontal="center" vertical="center"/>
    </xf>
    <xf numFmtId="0" fontId="3" fillId="4" borderId="110" xfId="0" applyFont="1" applyFill="1" applyBorder="1" applyAlignment="1">
      <alignment horizontal="center" vertical="center"/>
    </xf>
    <xf numFmtId="169" fontId="3" fillId="4" borderId="163" xfId="0" applyNumberFormat="1" applyFont="1" applyFill="1" applyBorder="1" applyAlignment="1">
      <alignment horizontal="center" vertical="center"/>
    </xf>
    <xf numFmtId="169" fontId="3" fillId="4" borderId="164" xfId="0" applyNumberFormat="1" applyFont="1" applyFill="1" applyBorder="1" applyAlignment="1">
      <alignment horizontal="center" vertical="center"/>
    </xf>
    <xf numFmtId="169" fontId="3" fillId="4" borderId="165" xfId="0" applyNumberFormat="1" applyFont="1" applyFill="1" applyBorder="1" applyAlignment="1">
      <alignment horizontal="center" vertical="center"/>
    </xf>
    <xf numFmtId="166" fontId="3" fillId="4" borderId="166" xfId="0" applyNumberFormat="1" applyFont="1" applyFill="1" applyBorder="1" applyAlignment="1">
      <alignment horizontal="center" vertical="center"/>
    </xf>
    <xf numFmtId="166" fontId="3" fillId="4" borderId="167" xfId="0" applyNumberFormat="1" applyFont="1" applyFill="1" applyBorder="1" applyAlignment="1">
      <alignment horizontal="center" vertical="center"/>
    </xf>
    <xf numFmtId="166" fontId="3" fillId="4" borderId="168" xfId="0" applyNumberFormat="1" applyFont="1" applyFill="1" applyBorder="1" applyAlignment="1">
      <alignment horizontal="center" vertical="center"/>
    </xf>
    <xf numFmtId="0" fontId="3" fillId="4" borderId="138" xfId="0" applyFont="1" applyFill="1" applyBorder="1" applyAlignment="1">
      <alignment horizontal="left" vertical="center"/>
    </xf>
    <xf numFmtId="0" fontId="3" fillId="4" borderId="105" xfId="0" applyFont="1" applyFill="1" applyBorder="1" applyAlignment="1">
      <alignment horizontal="center" vertical="center"/>
    </xf>
    <xf numFmtId="0" fontId="3" fillId="4" borderId="107" xfId="0" applyFont="1" applyFill="1" applyBorder="1" applyAlignment="1">
      <alignment horizontal="center" vertical="center"/>
    </xf>
    <xf numFmtId="0" fontId="0" fillId="4" borderId="157" xfId="0" applyFill="1" applyBorder="1" applyAlignment="1">
      <alignment horizontal="center" vertical="center"/>
    </xf>
    <xf numFmtId="0" fontId="0" fillId="4" borderId="158" xfId="0" applyFill="1" applyBorder="1" applyAlignment="1">
      <alignment horizontal="center" vertical="center"/>
    </xf>
    <xf numFmtId="0" fontId="0" fillId="4" borderId="159" xfId="0" applyFill="1" applyBorder="1" applyAlignment="1">
      <alignment horizontal="center" vertical="center"/>
    </xf>
    <xf numFmtId="0" fontId="3" fillId="4" borderId="108" xfId="0" applyFont="1" applyFill="1" applyBorder="1" applyAlignment="1">
      <alignment horizontal="center" vertical="center"/>
    </xf>
    <xf numFmtId="0" fontId="0" fillId="4" borderId="163" xfId="0" applyFill="1" applyBorder="1" applyAlignment="1">
      <alignment horizontal="left" vertical="center"/>
    </xf>
    <xf numFmtId="0" fontId="0" fillId="4" borderId="164" xfId="0" applyFill="1" applyBorder="1" applyAlignment="1">
      <alignment horizontal="left" vertical="center"/>
    </xf>
    <xf numFmtId="0" fontId="0" fillId="4" borderId="165" xfId="0" applyFill="1" applyBorder="1" applyAlignment="1">
      <alignment horizontal="left" vertical="center"/>
    </xf>
    <xf numFmtId="0" fontId="0" fillId="4" borderId="174" xfId="0" applyFill="1" applyBorder="1" applyAlignment="1">
      <alignment horizontal="left" vertical="center" wrapText="1"/>
    </xf>
    <xf numFmtId="0" fontId="0" fillId="4" borderId="99" xfId="0" applyFill="1" applyBorder="1" applyAlignment="1">
      <alignment horizontal="center" vertical="center" wrapText="1"/>
    </xf>
    <xf numFmtId="0" fontId="0" fillId="4" borderId="175" xfId="0" applyFill="1" applyBorder="1" applyAlignment="1">
      <alignment horizontal="center" vertical="center" wrapText="1"/>
    </xf>
    <xf numFmtId="3" fontId="3" fillId="4" borderId="176" xfId="0" applyNumberFormat="1" applyFont="1" applyFill="1" applyBorder="1" applyAlignment="1">
      <alignment horizontal="center" vertical="center"/>
    </xf>
    <xf numFmtId="0" fontId="14" fillId="18" borderId="7" xfId="0" applyFont="1" applyFill="1" applyBorder="1" applyAlignment="1">
      <alignment horizontal="left" vertical="center" wrapText="1"/>
    </xf>
    <xf numFmtId="0" fontId="26" fillId="18" borderId="6" xfId="0" applyFont="1" applyFill="1" applyBorder="1" applyAlignment="1">
      <alignment horizontal="center" vertical="center"/>
    </xf>
    <xf numFmtId="0" fontId="14" fillId="18" borderId="8" xfId="0" applyFont="1" applyFill="1" applyBorder="1" applyAlignment="1">
      <alignment horizontal="center" vertical="center" wrapText="1"/>
    </xf>
    <xf numFmtId="3" fontId="26" fillId="18" borderId="53" xfId="0" applyNumberFormat="1" applyFont="1" applyFill="1" applyBorder="1" applyAlignment="1">
      <alignment horizontal="center" vertical="center"/>
    </xf>
    <xf numFmtId="0" fontId="0" fillId="4" borderId="27" xfId="0" applyFill="1" applyBorder="1" applyAlignment="1">
      <alignment horizontal="center" vertical="center"/>
    </xf>
    <xf numFmtId="0" fontId="0" fillId="4" borderId="30" xfId="0" applyFill="1" applyBorder="1" applyAlignment="1">
      <alignment horizontal="center" vertical="center"/>
    </xf>
    <xf numFmtId="165" fontId="3" fillId="9" borderId="157" xfId="0" applyNumberFormat="1" applyFont="1" applyFill="1" applyBorder="1" applyAlignment="1">
      <alignment vertical="center"/>
    </xf>
    <xf numFmtId="165" fontId="3" fillId="9" borderId="158" xfId="0" applyNumberFormat="1" applyFont="1" applyFill="1" applyBorder="1" applyAlignment="1">
      <alignment vertical="center"/>
    </xf>
    <xf numFmtId="165" fontId="3" fillId="9" borderId="159" xfId="0" applyNumberFormat="1" applyFont="1" applyFill="1" applyBorder="1" applyAlignment="1">
      <alignment vertical="center"/>
    </xf>
    <xf numFmtId="165" fontId="3" fillId="9" borderId="160" xfId="0" applyNumberFormat="1" applyFont="1" applyFill="1" applyBorder="1" applyAlignment="1">
      <alignment vertical="center"/>
    </xf>
    <xf numFmtId="165" fontId="3" fillId="9" borderId="161" xfId="0" applyNumberFormat="1" applyFont="1" applyFill="1" applyBorder="1" applyAlignment="1">
      <alignment vertical="center"/>
    </xf>
    <xf numFmtId="165" fontId="3" fillId="9" borderId="162" xfId="0" applyNumberFormat="1" applyFont="1" applyFill="1" applyBorder="1" applyAlignment="1">
      <alignment vertical="center"/>
    </xf>
    <xf numFmtId="165" fontId="3" fillId="9" borderId="163" xfId="0" applyNumberFormat="1" applyFont="1" applyFill="1" applyBorder="1" applyAlignment="1">
      <alignment vertical="center"/>
    </xf>
    <xf numFmtId="165" fontId="3" fillId="9" borderId="164" xfId="0" applyNumberFormat="1" applyFont="1" applyFill="1" applyBorder="1" applyAlignment="1">
      <alignment vertical="center"/>
    </xf>
    <xf numFmtId="165" fontId="3" fillId="9" borderId="165" xfId="0" applyNumberFormat="1" applyFont="1" applyFill="1" applyBorder="1" applyAlignment="1">
      <alignment vertical="center"/>
    </xf>
    <xf numFmtId="43" fontId="0" fillId="0" borderId="0" xfId="2" applyFont="1"/>
    <xf numFmtId="14" fontId="0" fillId="0" borderId="0" xfId="0" applyNumberFormat="1" applyAlignment="1">
      <alignment horizontal="left" vertical="center"/>
    </xf>
    <xf numFmtId="49" fontId="0" fillId="0" borderId="0" xfId="0" applyNumberFormat="1" applyAlignment="1">
      <alignment vertical="center"/>
    </xf>
    <xf numFmtId="171" fontId="3" fillId="11" borderId="182" xfId="2" applyNumberFormat="1" applyFont="1" applyFill="1" applyBorder="1" applyAlignment="1">
      <alignment vertical="center"/>
    </xf>
    <xf numFmtId="171" fontId="3" fillId="11" borderId="109" xfId="2" applyNumberFormat="1" applyFont="1" applyFill="1" applyBorder="1" applyAlignment="1">
      <alignment vertical="center"/>
    </xf>
    <xf numFmtId="171" fontId="3" fillId="11" borderId="183" xfId="2" applyNumberFormat="1" applyFont="1" applyFill="1" applyBorder="1" applyAlignment="1">
      <alignment vertical="center"/>
    </xf>
    <xf numFmtId="0" fontId="0" fillId="0" borderId="184" xfId="0" applyBorder="1"/>
    <xf numFmtId="0" fontId="0" fillId="0" borderId="185" xfId="0" applyBorder="1"/>
    <xf numFmtId="44" fontId="0" fillId="0" borderId="184" xfId="0" applyNumberFormat="1" applyBorder="1"/>
    <xf numFmtId="44" fontId="0" fillId="0" borderId="50" xfId="0" applyNumberFormat="1" applyBorder="1"/>
    <xf numFmtId="44" fontId="0" fillId="0" borderId="185" xfId="0" applyNumberFormat="1" applyBorder="1"/>
    <xf numFmtId="171" fontId="3" fillId="11" borderId="186" xfId="2" applyNumberFormat="1" applyFont="1" applyFill="1" applyBorder="1" applyAlignment="1">
      <alignment vertical="center"/>
    </xf>
    <xf numFmtId="171" fontId="3" fillId="11" borderId="106" xfId="2" applyNumberFormat="1" applyFont="1" applyFill="1" applyBorder="1" applyAlignment="1">
      <alignment vertical="center"/>
    </xf>
    <xf numFmtId="171" fontId="3" fillId="11" borderId="187" xfId="2" applyNumberFormat="1" applyFont="1" applyFill="1" applyBorder="1" applyAlignment="1">
      <alignment vertical="center"/>
    </xf>
    <xf numFmtId="171" fontId="3" fillId="11" borderId="188" xfId="2" applyNumberFormat="1" applyFont="1" applyFill="1" applyBorder="1" applyAlignment="1">
      <alignment vertical="center"/>
    </xf>
    <xf numFmtId="171" fontId="3" fillId="11" borderId="112" xfId="2" applyNumberFormat="1" applyFont="1" applyFill="1" applyBorder="1" applyAlignment="1">
      <alignment vertical="center"/>
    </xf>
    <xf numFmtId="171" fontId="3" fillId="11" borderId="189" xfId="2" applyNumberFormat="1" applyFont="1" applyFill="1" applyBorder="1" applyAlignment="1">
      <alignment vertical="center"/>
    </xf>
    <xf numFmtId="171" fontId="3" fillId="19" borderId="190" xfId="2" applyNumberFormat="1" applyFont="1" applyFill="1" applyBorder="1" applyAlignment="1">
      <alignment vertical="center"/>
    </xf>
    <xf numFmtId="171" fontId="3" fillId="19" borderId="103" xfId="2" applyNumberFormat="1" applyFont="1" applyFill="1" applyBorder="1" applyAlignment="1">
      <alignment vertical="center"/>
    </xf>
    <xf numFmtId="171" fontId="3" fillId="19" borderId="191" xfId="2" applyNumberFormat="1" applyFont="1" applyFill="1" applyBorder="1" applyAlignment="1">
      <alignment vertical="center"/>
    </xf>
    <xf numFmtId="171" fontId="3" fillId="19" borderId="192" xfId="2" applyNumberFormat="1" applyFont="1" applyFill="1" applyBorder="1" applyAlignment="1">
      <alignment vertical="center"/>
    </xf>
    <xf numFmtId="171" fontId="3" fillId="19" borderId="193" xfId="2" applyNumberFormat="1" applyFont="1" applyFill="1" applyBorder="1" applyAlignment="1">
      <alignment vertical="center"/>
    </xf>
    <xf numFmtId="171" fontId="3" fillId="19" borderId="194" xfId="2" applyNumberFormat="1" applyFont="1" applyFill="1" applyBorder="1" applyAlignment="1">
      <alignment vertical="center"/>
    </xf>
    <xf numFmtId="171" fontId="3" fillId="11" borderId="195" xfId="2" applyNumberFormat="1" applyFont="1" applyFill="1" applyBorder="1" applyAlignment="1">
      <alignment vertical="center"/>
    </xf>
    <xf numFmtId="171" fontId="3" fillId="11" borderId="196" xfId="2" applyNumberFormat="1" applyFont="1" applyFill="1" applyBorder="1" applyAlignment="1">
      <alignment vertical="center"/>
    </xf>
    <xf numFmtId="0" fontId="18" fillId="0" borderId="7" xfId="0" applyFont="1" applyBorder="1" applyAlignment="1">
      <alignment vertical="center"/>
    </xf>
    <xf numFmtId="0" fontId="18" fillId="0" borderId="6" xfId="0" applyFont="1" applyBorder="1" applyAlignment="1">
      <alignment horizontal="right" vertical="center"/>
    </xf>
    <xf numFmtId="1" fontId="3" fillId="0" borderId="143" xfId="0" applyNumberFormat="1" applyFont="1" applyBorder="1" applyAlignment="1">
      <alignment horizontal="center" vertical="center"/>
    </xf>
    <xf numFmtId="1" fontId="0" fillId="0" borderId="143" xfId="0" applyNumberFormat="1" applyBorder="1" applyAlignment="1">
      <alignment horizontal="center" vertical="center"/>
    </xf>
    <xf numFmtId="1" fontId="0" fillId="0" borderId="197" xfId="0" applyNumberFormat="1" applyBorder="1" applyAlignment="1">
      <alignment horizontal="center" vertical="center"/>
    </xf>
    <xf numFmtId="1" fontId="3" fillId="0" borderId="198" xfId="0" applyNumberFormat="1" applyFont="1" applyBorder="1" applyAlignment="1">
      <alignment horizontal="center" vertical="center"/>
    </xf>
    <xf numFmtId="1" fontId="3" fillId="0" borderId="199" xfId="0" applyNumberFormat="1" applyFont="1" applyBorder="1" applyAlignment="1">
      <alignment horizontal="center" vertical="center"/>
    </xf>
    <xf numFmtId="0" fontId="26" fillId="0" borderId="87" xfId="0" applyFont="1" applyBorder="1" applyAlignment="1">
      <alignment horizontal="center" vertical="center"/>
    </xf>
    <xf numFmtId="0" fontId="26" fillId="0" borderId="87" xfId="0" applyFont="1" applyBorder="1" applyAlignment="1">
      <alignment horizontal="center"/>
    </xf>
    <xf numFmtId="0" fontId="3" fillId="0" borderId="105" xfId="0" applyFont="1" applyBorder="1"/>
    <xf numFmtId="168" fontId="3" fillId="0" borderId="106" xfId="0" applyNumberFormat="1" applyFont="1" applyBorder="1" applyAlignment="1">
      <alignment horizontal="right" vertical="center"/>
    </xf>
    <xf numFmtId="168" fontId="3" fillId="0" borderId="106" xfId="0" applyNumberFormat="1" applyFont="1" applyBorder="1"/>
    <xf numFmtId="0" fontId="3" fillId="0" borderId="111" xfId="0" applyFont="1" applyBorder="1"/>
    <xf numFmtId="168" fontId="3" fillId="0" borderId="112" xfId="0" applyNumberFormat="1" applyFont="1" applyBorder="1" applyAlignment="1">
      <alignment horizontal="right" vertical="center"/>
    </xf>
    <xf numFmtId="168" fontId="3" fillId="0" borderId="112" xfId="0" applyNumberFormat="1" applyFont="1" applyBorder="1"/>
    <xf numFmtId="168" fontId="3" fillId="0" borderId="111" xfId="0" applyNumberFormat="1" applyFont="1" applyBorder="1" applyAlignment="1">
      <alignment horizontal="left" vertical="center"/>
    </xf>
    <xf numFmtId="168" fontId="3" fillId="0" borderId="111" xfId="0" applyNumberFormat="1" applyFont="1" applyBorder="1" applyAlignment="1">
      <alignment horizontal="right" vertical="center"/>
    </xf>
    <xf numFmtId="168" fontId="3" fillId="0" borderId="112" xfId="0" applyNumberFormat="1" applyFont="1" applyBorder="1" applyAlignment="1">
      <alignment horizontal="center" vertical="center"/>
    </xf>
    <xf numFmtId="168" fontId="3" fillId="0" borderId="111" xfId="0" applyNumberFormat="1" applyFont="1" applyBorder="1"/>
    <xf numFmtId="168" fontId="3" fillId="0" borderId="196" xfId="0" applyNumberFormat="1" applyFont="1" applyBorder="1"/>
    <xf numFmtId="168" fontId="3" fillId="0" borderId="108" xfId="0" applyNumberFormat="1" applyFont="1" applyBorder="1"/>
    <xf numFmtId="2" fontId="3" fillId="0" borderId="200" xfId="0" applyNumberFormat="1" applyFont="1" applyBorder="1" applyAlignment="1">
      <alignment horizontal="center" vertical="center"/>
    </xf>
    <xf numFmtId="2" fontId="3" fillId="0" borderId="143" xfId="0" applyNumberFormat="1" applyFont="1" applyBorder="1" applyAlignment="1">
      <alignment horizontal="center" vertical="center"/>
    </xf>
    <xf numFmtId="2" fontId="0" fillId="0" borderId="143" xfId="0" applyNumberFormat="1" applyBorder="1" applyAlignment="1">
      <alignment horizontal="center" vertical="center"/>
    </xf>
    <xf numFmtId="2" fontId="0" fillId="0" borderId="197" xfId="0" applyNumberFormat="1" applyBorder="1" applyAlignment="1">
      <alignment horizontal="center" vertical="center"/>
    </xf>
    <xf numFmtId="2" fontId="3" fillId="0" borderId="201" xfId="0" applyNumberFormat="1" applyFont="1" applyBorder="1" applyAlignment="1">
      <alignment horizontal="center" vertical="center"/>
    </xf>
    <xf numFmtId="2" fontId="3" fillId="0" borderId="198" xfId="0" applyNumberFormat="1" applyFont="1" applyBorder="1" applyAlignment="1">
      <alignment horizontal="center" vertical="center"/>
    </xf>
    <xf numFmtId="2" fontId="0" fillId="0" borderId="198" xfId="0" applyNumberFormat="1" applyBorder="1" applyAlignment="1">
      <alignment horizontal="center" vertical="center"/>
    </xf>
    <xf numFmtId="2" fontId="0" fillId="0" borderId="199" xfId="0" applyNumberFormat="1" applyBorder="1" applyAlignment="1">
      <alignment horizontal="center" vertical="center"/>
    </xf>
    <xf numFmtId="0" fontId="3" fillId="0" borderId="202" xfId="0" applyFont="1" applyBorder="1" applyAlignment="1">
      <alignment horizontal="center" vertical="center"/>
    </xf>
    <xf numFmtId="0" fontId="0" fillId="0" borderId="202" xfId="0" applyBorder="1" applyAlignment="1">
      <alignment horizontal="center" vertical="center"/>
    </xf>
    <xf numFmtId="0" fontId="0" fillId="0" borderId="203" xfId="0" applyBorder="1" applyAlignment="1">
      <alignment horizontal="center" vertical="center"/>
    </xf>
    <xf numFmtId="49" fontId="26" fillId="0" borderId="205" xfId="0" applyNumberFormat="1" applyFont="1" applyBorder="1" applyAlignment="1">
      <alignment horizontal="center" vertical="center"/>
    </xf>
    <xf numFmtId="49" fontId="14" fillId="0" borderId="205" xfId="0" applyNumberFormat="1" applyFont="1" applyBorder="1" applyAlignment="1">
      <alignment horizontal="center" vertical="center"/>
    </xf>
    <xf numFmtId="49" fontId="14" fillId="0" borderId="180" xfId="0" applyNumberFormat="1" applyFont="1" applyBorder="1" applyAlignment="1">
      <alignment horizontal="center" vertical="center"/>
    </xf>
    <xf numFmtId="0" fontId="26" fillId="0" borderId="204" xfId="0" applyFont="1" applyBorder="1" applyAlignment="1">
      <alignment horizontal="center"/>
    </xf>
    <xf numFmtId="0" fontId="26" fillId="0" borderId="205" xfId="0" applyFont="1" applyBorder="1" applyAlignment="1">
      <alignment horizontal="center"/>
    </xf>
    <xf numFmtId="0" fontId="14" fillId="0" borderId="205" xfId="0" applyFont="1" applyBorder="1" applyAlignment="1">
      <alignment horizontal="center"/>
    </xf>
    <xf numFmtId="0" fontId="14" fillId="0" borderId="180" xfId="0" applyFont="1" applyBorder="1" applyAlignment="1">
      <alignment horizontal="center"/>
    </xf>
    <xf numFmtId="49" fontId="26" fillId="0" borderId="206" xfId="0" applyNumberFormat="1" applyFont="1" applyBorder="1" applyAlignment="1">
      <alignment horizontal="center" vertical="center"/>
    </xf>
    <xf numFmtId="0" fontId="3" fillId="0" borderId="207" xfId="0" applyFont="1" applyBorder="1" applyAlignment="1">
      <alignment horizontal="center" vertical="center"/>
    </xf>
    <xf numFmtId="1" fontId="3" fillId="0" borderId="147" xfId="0" applyNumberFormat="1" applyFont="1" applyBorder="1" applyAlignment="1">
      <alignment horizontal="center" vertical="center"/>
    </xf>
    <xf numFmtId="1" fontId="3" fillId="0" borderId="208" xfId="0" applyNumberFormat="1" applyFont="1" applyBorder="1" applyAlignment="1">
      <alignment horizontal="center" vertical="center"/>
    </xf>
    <xf numFmtId="0" fontId="3" fillId="0" borderId="2" xfId="0" applyFont="1" applyBorder="1" applyAlignment="1">
      <alignment horizontal="center"/>
    </xf>
    <xf numFmtId="1" fontId="3" fillId="0" borderId="209" xfId="0" applyNumberFormat="1" applyFont="1" applyBorder="1" applyAlignment="1">
      <alignment horizontal="center" vertical="center"/>
    </xf>
    <xf numFmtId="1" fontId="3" fillId="0" borderId="210" xfId="0" applyNumberFormat="1" applyFont="1" applyBorder="1" applyAlignment="1">
      <alignment horizontal="center" vertical="center"/>
    </xf>
    <xf numFmtId="1" fontId="0" fillId="0" borderId="210" xfId="0" applyNumberFormat="1" applyBorder="1" applyAlignment="1">
      <alignment horizontal="center" vertical="center"/>
    </xf>
    <xf numFmtId="1" fontId="0" fillId="0" borderId="211" xfId="0" applyNumberFormat="1" applyBorder="1" applyAlignment="1">
      <alignment horizontal="center" vertical="center"/>
    </xf>
    <xf numFmtId="1" fontId="3" fillId="0" borderId="212" xfId="0" applyNumberFormat="1" applyFont="1" applyBorder="1" applyAlignment="1">
      <alignment horizontal="center" vertical="center"/>
    </xf>
    <xf numFmtId="1" fontId="3" fillId="0" borderId="142" xfId="0" applyNumberFormat="1" applyFont="1" applyBorder="1" applyAlignment="1">
      <alignment horizontal="center" vertical="center"/>
    </xf>
    <xf numFmtId="1" fontId="0" fillId="0" borderId="142" xfId="0" applyNumberFormat="1" applyBorder="1" applyAlignment="1">
      <alignment horizontal="center" vertical="center"/>
    </xf>
    <xf numFmtId="1" fontId="0" fillId="0" borderId="213" xfId="0" applyNumberFormat="1" applyBorder="1" applyAlignment="1">
      <alignment horizontal="center" vertical="center"/>
    </xf>
    <xf numFmtId="1" fontId="3" fillId="0" borderId="207" xfId="0" applyNumberFormat="1" applyFont="1" applyBorder="1" applyAlignment="1">
      <alignment horizontal="center" vertical="center"/>
    </xf>
    <xf numFmtId="1" fontId="3" fillId="0" borderId="202" xfId="0" applyNumberFormat="1" applyFont="1" applyBorder="1" applyAlignment="1">
      <alignment horizontal="center" vertical="center"/>
    </xf>
    <xf numFmtId="1" fontId="0" fillId="0" borderId="202" xfId="0" applyNumberFormat="1" applyBorder="1" applyAlignment="1">
      <alignment horizontal="center" vertical="center"/>
    </xf>
    <xf numFmtId="1" fontId="0" fillId="0" borderId="203" xfId="0" applyNumberFormat="1" applyBorder="1" applyAlignment="1">
      <alignment horizontal="center" vertical="center"/>
    </xf>
    <xf numFmtId="1" fontId="3" fillId="0" borderId="200" xfId="0" applyNumberFormat="1" applyFont="1" applyBorder="1" applyAlignment="1">
      <alignment horizontal="center" vertical="center"/>
    </xf>
    <xf numFmtId="1" fontId="3" fillId="0" borderId="214" xfId="0" applyNumberFormat="1" applyFont="1" applyBorder="1" applyAlignment="1">
      <alignment horizontal="center" vertical="center"/>
    </xf>
    <xf numFmtId="1" fontId="3" fillId="0" borderId="144" xfId="0" applyNumberFormat="1" applyFont="1" applyBorder="1" applyAlignment="1">
      <alignment horizontal="center" vertical="center"/>
    </xf>
    <xf numFmtId="1" fontId="0" fillId="0" borderId="144" xfId="0" applyNumberFormat="1" applyBorder="1" applyAlignment="1">
      <alignment horizontal="center" vertical="center"/>
    </xf>
    <xf numFmtId="1" fontId="0" fillId="0" borderId="215" xfId="0" applyNumberFormat="1" applyBorder="1" applyAlignment="1">
      <alignment horizontal="center" vertical="center"/>
    </xf>
    <xf numFmtId="0" fontId="0" fillId="12" borderId="216" xfId="0" applyFill="1" applyBorder="1"/>
    <xf numFmtId="0" fontId="0" fillId="12" borderId="217" xfId="0" applyFill="1" applyBorder="1"/>
    <xf numFmtId="0" fontId="0" fillId="12" borderId="218" xfId="0" applyFill="1" applyBorder="1"/>
    <xf numFmtId="0" fontId="14" fillId="2" borderId="178" xfId="0" applyFont="1" applyFill="1" applyBorder="1" applyAlignment="1">
      <alignment horizontal="center"/>
    </xf>
    <xf numFmtId="0" fontId="26" fillId="3" borderId="178" xfId="0" applyFont="1" applyFill="1" applyBorder="1" applyAlignment="1">
      <alignment horizontal="center"/>
    </xf>
    <xf numFmtId="0" fontId="3" fillId="11" borderId="219" xfId="0" applyFont="1" applyFill="1" applyBorder="1" applyAlignment="1">
      <alignment vertical="center"/>
    </xf>
    <xf numFmtId="0" fontId="3" fillId="11" borderId="220" xfId="0" applyFont="1" applyFill="1" applyBorder="1" applyAlignment="1">
      <alignment vertical="center"/>
    </xf>
    <xf numFmtId="0" fontId="3" fillId="11" borderId="221" xfId="0" applyFont="1" applyFill="1" applyBorder="1" applyAlignment="1">
      <alignment vertical="center"/>
    </xf>
    <xf numFmtId="44" fontId="0" fillId="0" borderId="0" xfId="1" applyFont="1" applyBorder="1" applyAlignment="1">
      <alignment horizontal="center" vertical="center"/>
    </xf>
    <xf numFmtId="44" fontId="0" fillId="0" borderId="0" xfId="1" applyFont="1" applyBorder="1" applyAlignment="1">
      <alignment vertical="center"/>
    </xf>
    <xf numFmtId="44" fontId="5" fillId="0" borderId="0" xfId="1" applyFont="1" applyBorder="1" applyAlignment="1">
      <alignment vertical="center"/>
    </xf>
    <xf numFmtId="44" fontId="5" fillId="0" borderId="0" xfId="1" applyFont="1" applyBorder="1" applyAlignment="1">
      <alignment horizontal="center" vertical="center"/>
    </xf>
    <xf numFmtId="2" fontId="5" fillId="0" borderId="0" xfId="0" applyNumberFormat="1" applyFont="1" applyAlignment="1">
      <alignment vertical="center"/>
    </xf>
    <xf numFmtId="9" fontId="5" fillId="0" borderId="0" xfId="1" applyNumberFormat="1" applyFont="1" applyBorder="1" applyAlignment="1">
      <alignment vertical="center"/>
    </xf>
    <xf numFmtId="2" fontId="0" fillId="0" borderId="0" xfId="1" applyNumberFormat="1" applyFont="1" applyBorder="1" applyAlignment="1">
      <alignment vertical="center"/>
    </xf>
    <xf numFmtId="0" fontId="3" fillId="11" borderId="75" xfId="0" applyFont="1" applyFill="1" applyBorder="1" applyAlignment="1">
      <alignment vertical="center"/>
    </xf>
    <xf numFmtId="0" fontId="3" fillId="11" borderId="78" xfId="0" applyFont="1" applyFill="1" applyBorder="1" applyAlignment="1">
      <alignment vertical="center"/>
    </xf>
    <xf numFmtId="0" fontId="3" fillId="11" borderId="76" xfId="0" applyFont="1" applyFill="1" applyBorder="1" applyAlignment="1">
      <alignment vertical="center"/>
    </xf>
    <xf numFmtId="0" fontId="0" fillId="11" borderId="82" xfId="0" applyFill="1" applyBorder="1" applyAlignment="1">
      <alignment vertical="center"/>
    </xf>
    <xf numFmtId="9" fontId="0" fillId="0" borderId="0" xfId="1" applyNumberFormat="1" applyFont="1" applyBorder="1" applyAlignment="1">
      <alignment vertical="center"/>
    </xf>
    <xf numFmtId="0" fontId="0" fillId="12" borderId="145" xfId="0" applyFill="1" applyBorder="1" applyAlignment="1">
      <alignment vertical="center"/>
    </xf>
    <xf numFmtId="0" fontId="0" fillId="12" borderId="138" xfId="0" applyFill="1" applyBorder="1"/>
    <xf numFmtId="0" fontId="0" fillId="12" borderId="139" xfId="0" applyFill="1" applyBorder="1"/>
    <xf numFmtId="0" fontId="0" fillId="12" borderId="140" xfId="0" applyFill="1" applyBorder="1"/>
    <xf numFmtId="0" fontId="0" fillId="12" borderId="138" xfId="0" applyFill="1" applyBorder="1" applyAlignment="1">
      <alignment vertical="center"/>
    </xf>
    <xf numFmtId="0" fontId="0" fillId="12" borderId="140" xfId="0" applyFill="1" applyBorder="1" applyAlignment="1">
      <alignment vertical="center"/>
    </xf>
    <xf numFmtId="0" fontId="0" fillId="12" borderId="139" xfId="0" applyFill="1" applyBorder="1" applyAlignment="1">
      <alignment vertical="center"/>
    </xf>
    <xf numFmtId="0" fontId="0" fillId="12" borderId="223" xfId="0" applyFill="1" applyBorder="1" applyAlignment="1">
      <alignment vertical="center"/>
    </xf>
    <xf numFmtId="0" fontId="0" fillId="12" borderId="224" xfId="0" applyFill="1" applyBorder="1" applyAlignment="1">
      <alignment vertical="center"/>
    </xf>
    <xf numFmtId="0" fontId="0" fillId="11" borderId="138" xfId="0" applyFill="1" applyBorder="1" applyAlignment="1">
      <alignment vertical="center"/>
    </xf>
    <xf numFmtId="0" fontId="0" fillId="11" borderId="139" xfId="0" applyFill="1" applyBorder="1" applyAlignment="1">
      <alignment vertical="center"/>
    </xf>
    <xf numFmtId="0" fontId="0" fillId="11" borderId="140" xfId="0" applyFill="1" applyBorder="1" applyAlignment="1">
      <alignment vertical="center"/>
    </xf>
    <xf numFmtId="0" fontId="14" fillId="21" borderId="140" xfId="0" applyFont="1" applyFill="1" applyBorder="1" applyAlignment="1">
      <alignment vertical="center"/>
    </xf>
    <xf numFmtId="0" fontId="0" fillId="4" borderId="138" xfId="0" applyFill="1" applyBorder="1" applyAlignment="1">
      <alignment vertical="center"/>
    </xf>
    <xf numFmtId="0" fontId="0" fillId="4" borderId="139" xfId="0" quotePrefix="1" applyFill="1" applyBorder="1" applyAlignment="1">
      <alignment vertical="center"/>
    </xf>
    <xf numFmtId="0" fontId="0" fillId="4" borderId="140" xfId="0" quotePrefix="1" applyFill="1" applyBorder="1" applyAlignment="1">
      <alignment vertical="center"/>
    </xf>
    <xf numFmtId="0" fontId="0" fillId="12" borderId="174" xfId="0" applyFill="1" applyBorder="1" applyAlignment="1">
      <alignment vertical="center"/>
    </xf>
    <xf numFmtId="0" fontId="0" fillId="12" borderId="140" xfId="0" quotePrefix="1" applyFill="1" applyBorder="1" applyAlignment="1">
      <alignment vertical="center"/>
    </xf>
    <xf numFmtId="0" fontId="0" fillId="12" borderId="139" xfId="0" quotePrefix="1" applyFill="1" applyBorder="1" applyAlignment="1">
      <alignment vertical="center"/>
    </xf>
    <xf numFmtId="2" fontId="3" fillId="0" borderId="225" xfId="0" applyNumberFormat="1" applyFont="1" applyBorder="1" applyAlignment="1">
      <alignment horizontal="center" vertical="center"/>
    </xf>
    <xf numFmtId="2" fontId="3" fillId="0" borderId="210" xfId="0" applyNumberFormat="1" applyFont="1" applyBorder="1" applyAlignment="1">
      <alignment horizontal="center" vertical="center"/>
    </xf>
    <xf numFmtId="2" fontId="0" fillId="0" borderId="210" xfId="0" applyNumberFormat="1" applyBorder="1" applyAlignment="1">
      <alignment horizontal="center" vertical="center"/>
    </xf>
    <xf numFmtId="2" fontId="0" fillId="0" borderId="211" xfId="0" applyNumberFormat="1" applyBorder="1" applyAlignment="1">
      <alignment horizontal="center" vertical="center"/>
    </xf>
    <xf numFmtId="1" fontId="3" fillId="0" borderId="226" xfId="0" applyNumberFormat="1" applyFont="1" applyBorder="1" applyAlignment="1">
      <alignment horizontal="center"/>
    </xf>
    <xf numFmtId="1" fontId="3" fillId="0" borderId="227" xfId="0" applyNumberFormat="1" applyFont="1" applyBorder="1" applyAlignment="1">
      <alignment horizontal="center"/>
    </xf>
    <xf numFmtId="1" fontId="0" fillId="0" borderId="227" xfId="0" applyNumberFormat="1" applyBorder="1" applyAlignment="1">
      <alignment horizontal="center"/>
    </xf>
    <xf numFmtId="1" fontId="0" fillId="0" borderId="228" xfId="0" applyNumberFormat="1" applyBorder="1" applyAlignment="1">
      <alignment horizontal="center"/>
    </xf>
    <xf numFmtId="2" fontId="3" fillId="0" borderId="212" xfId="0" applyNumberFormat="1" applyFont="1" applyBorder="1" applyAlignment="1">
      <alignment horizontal="center" vertical="center"/>
    </xf>
    <xf numFmtId="2" fontId="3" fillId="0" borderId="142" xfId="0" applyNumberFormat="1" applyFont="1" applyBorder="1" applyAlignment="1">
      <alignment horizontal="center" vertical="center"/>
    </xf>
    <xf numFmtId="2" fontId="0" fillId="0" borderId="142" xfId="0" applyNumberFormat="1" applyBorder="1" applyAlignment="1">
      <alignment horizontal="center" vertical="center"/>
    </xf>
    <xf numFmtId="2" fontId="0" fillId="0" borderId="213" xfId="0" applyNumberFormat="1" applyBorder="1" applyAlignment="1">
      <alignment horizontal="center" vertical="center"/>
    </xf>
    <xf numFmtId="0" fontId="3" fillId="12" borderId="0" xfId="0" applyFont="1" applyFill="1" applyAlignment="1">
      <alignment vertical="center"/>
    </xf>
    <xf numFmtId="0" fontId="3" fillId="12" borderId="0" xfId="0" applyFont="1" applyFill="1" applyAlignment="1">
      <alignment horizontal="left"/>
    </xf>
    <xf numFmtId="0" fontId="3" fillId="12" borderId="0" xfId="0" applyFont="1" applyFill="1" applyAlignment="1">
      <alignment horizontal="center" vertical="center"/>
    </xf>
    <xf numFmtId="0" fontId="14" fillId="3" borderId="0" xfId="0" applyFont="1" applyFill="1" applyAlignment="1">
      <alignment vertical="center"/>
    </xf>
    <xf numFmtId="0" fontId="26" fillId="3" borderId="0" xfId="0" applyFont="1" applyFill="1" applyAlignment="1">
      <alignment vertical="center"/>
    </xf>
    <xf numFmtId="0" fontId="3" fillId="3" borderId="0" xfId="0" applyFont="1" applyFill="1" applyAlignment="1">
      <alignment horizontal="center" vertical="center"/>
    </xf>
    <xf numFmtId="0" fontId="14" fillId="3" borderId="87" xfId="0" applyFont="1" applyFill="1" applyBorder="1" applyAlignment="1">
      <alignment vertical="center"/>
    </xf>
    <xf numFmtId="2" fontId="3" fillId="11" borderId="69" xfId="0" applyNumberFormat="1" applyFont="1" applyFill="1" applyBorder="1" applyAlignment="1">
      <alignment vertical="center"/>
    </xf>
    <xf numFmtId="0" fontId="0" fillId="4" borderId="98" xfId="0" applyFill="1" applyBorder="1" applyAlignment="1">
      <alignment horizontal="center" vertical="center"/>
    </xf>
    <xf numFmtId="0" fontId="0" fillId="4" borderId="104" xfId="0" applyFill="1" applyBorder="1" applyAlignment="1">
      <alignment horizontal="center" vertical="center"/>
    </xf>
    <xf numFmtId="4" fontId="3" fillId="4" borderId="229" xfId="0" applyNumberFormat="1" applyFont="1" applyFill="1" applyBorder="1" applyAlignment="1">
      <alignment horizontal="center" vertical="center"/>
    </xf>
    <xf numFmtId="171" fontId="0" fillId="0" borderId="0" xfId="0" applyNumberFormat="1"/>
    <xf numFmtId="171" fontId="3" fillId="11" borderId="230" xfId="2" applyNumberFormat="1" applyFont="1" applyFill="1" applyBorder="1" applyAlignment="1">
      <alignment vertical="center"/>
    </xf>
    <xf numFmtId="171" fontId="3" fillId="11" borderId="137" xfId="2" applyNumberFormat="1" applyFont="1" applyFill="1" applyBorder="1" applyAlignment="1">
      <alignment vertical="center"/>
    </xf>
    <xf numFmtId="171" fontId="3" fillId="11" borderId="231" xfId="2" applyNumberFormat="1" applyFont="1" applyFill="1" applyBorder="1" applyAlignment="1">
      <alignment vertical="center"/>
    </xf>
    <xf numFmtId="0" fontId="0" fillId="4" borderId="77" xfId="1" applyNumberFormat="1" applyFont="1" applyFill="1" applyBorder="1" applyAlignment="1">
      <alignment vertical="center"/>
    </xf>
    <xf numFmtId="0" fontId="0" fillId="11" borderId="77" xfId="0" applyFill="1" applyBorder="1" applyAlignment="1">
      <alignment vertical="center"/>
    </xf>
    <xf numFmtId="164" fontId="0" fillId="11" borderId="69" xfId="0" applyNumberFormat="1" applyFill="1" applyBorder="1" applyAlignment="1">
      <alignment vertical="center"/>
    </xf>
    <xf numFmtId="44" fontId="0" fillId="11" borderId="61" xfId="0" applyNumberFormat="1" applyFill="1" applyBorder="1" applyAlignment="1">
      <alignment vertical="center"/>
    </xf>
    <xf numFmtId="44" fontId="0" fillId="11" borderId="58" xfId="0" applyNumberFormat="1" applyFill="1" applyBorder="1" applyAlignment="1">
      <alignment vertical="center"/>
    </xf>
    <xf numFmtId="44" fontId="0" fillId="11" borderId="69" xfId="0" applyNumberFormat="1" applyFill="1" applyBorder="1" applyAlignment="1">
      <alignment vertical="center"/>
    </xf>
    <xf numFmtId="44" fontId="0" fillId="11" borderId="66" xfId="0" applyNumberFormat="1" applyFill="1" applyBorder="1" applyAlignment="1">
      <alignment vertical="center"/>
    </xf>
    <xf numFmtId="0" fontId="14" fillId="0" borderId="232" xfId="0" applyFont="1" applyBorder="1" applyAlignment="1">
      <alignment horizontal="center" vertical="center" wrapText="1"/>
    </xf>
    <xf numFmtId="0" fontId="0" fillId="0" borderId="232" xfId="0" applyBorder="1" applyAlignment="1">
      <alignment horizontal="center"/>
    </xf>
    <xf numFmtId="9" fontId="0" fillId="0" borderId="232" xfId="0" applyNumberFormat="1" applyBorder="1" applyAlignment="1">
      <alignment horizontal="center"/>
    </xf>
    <xf numFmtId="0" fontId="0" fillId="0" borderId="17" xfId="0" applyBorder="1" applyAlignment="1">
      <alignment horizontal="left" vertical="center"/>
    </xf>
    <xf numFmtId="0" fontId="0" fillId="0" borderId="9" xfId="0" applyBorder="1" applyAlignment="1">
      <alignment horizontal="center" vertical="center"/>
    </xf>
    <xf numFmtId="0" fontId="0" fillId="4" borderId="83" xfId="0" applyFill="1" applyBorder="1" applyAlignment="1">
      <alignment horizontal="center" vertical="center"/>
    </xf>
    <xf numFmtId="0" fontId="28" fillId="4" borderId="55" xfId="0" applyFont="1" applyFill="1" applyBorder="1" applyAlignment="1">
      <alignment horizontal="center" vertical="center"/>
    </xf>
    <xf numFmtId="2" fontId="28" fillId="4" borderId="58" xfId="0" applyNumberFormat="1" applyFont="1" applyFill="1" applyBorder="1" applyAlignment="1">
      <alignment horizontal="center" vertical="center"/>
    </xf>
    <xf numFmtId="2" fontId="0" fillId="4" borderId="66" xfId="0" applyNumberFormat="1" applyFill="1" applyBorder="1" applyAlignment="1">
      <alignment horizontal="center" vertical="center"/>
    </xf>
    <xf numFmtId="2" fontId="0" fillId="4" borderId="58" xfId="0" applyNumberFormat="1" applyFill="1" applyBorder="1" applyAlignment="1">
      <alignment horizontal="center" vertical="center"/>
    </xf>
    <xf numFmtId="2" fontId="0" fillId="4" borderId="69" xfId="0" applyNumberFormat="1" applyFill="1" applyBorder="1" applyAlignment="1">
      <alignment horizontal="center" vertical="center"/>
    </xf>
    <xf numFmtId="2" fontId="28" fillId="4" borderId="55" xfId="0" applyNumberFormat="1" applyFont="1" applyFill="1" applyBorder="1" applyAlignment="1">
      <alignment horizontal="center" vertical="center"/>
    </xf>
    <xf numFmtId="0" fontId="0" fillId="4" borderId="55" xfId="0" applyFill="1" applyBorder="1" applyAlignment="1">
      <alignment horizontal="center" vertical="center"/>
    </xf>
    <xf numFmtId="0" fontId="0" fillId="3" borderId="64" xfId="0" applyFill="1" applyBorder="1" applyAlignment="1">
      <alignment horizontal="center" vertical="center"/>
    </xf>
    <xf numFmtId="2" fontId="0" fillId="4" borderId="55" xfId="0" applyNumberFormat="1" applyFill="1" applyBorder="1" applyAlignment="1">
      <alignment horizontal="center" vertical="center"/>
    </xf>
    <xf numFmtId="0" fontId="3" fillId="4" borderId="83" xfId="0" applyFont="1" applyFill="1" applyBorder="1" applyAlignment="1">
      <alignment horizontal="center" vertical="center"/>
    </xf>
    <xf numFmtId="2" fontId="3" fillId="4" borderId="66" xfId="0" applyNumberFormat="1" applyFont="1" applyFill="1" applyBorder="1" applyAlignment="1">
      <alignment horizontal="center" vertical="center"/>
    </xf>
    <xf numFmtId="2" fontId="3" fillId="4" borderId="58" xfId="0" applyNumberFormat="1" applyFont="1" applyFill="1" applyBorder="1" applyAlignment="1">
      <alignment horizontal="center" vertical="center"/>
    </xf>
    <xf numFmtId="2" fontId="3" fillId="4" borderId="69" xfId="0" applyNumberFormat="1" applyFont="1" applyFill="1" applyBorder="1" applyAlignment="1">
      <alignment horizontal="center" vertical="center"/>
    </xf>
    <xf numFmtId="2" fontId="0" fillId="4" borderId="61" xfId="0" applyNumberFormat="1" applyFill="1" applyBorder="1" applyAlignment="1">
      <alignment horizontal="center" vertical="center"/>
    </xf>
    <xf numFmtId="2" fontId="3" fillId="4" borderId="72" xfId="0" applyNumberFormat="1" applyFont="1" applyFill="1" applyBorder="1" applyAlignment="1">
      <alignment horizontal="center" vertical="center"/>
    </xf>
    <xf numFmtId="2" fontId="28" fillId="4" borderId="69" xfId="0" applyNumberFormat="1" applyFont="1" applyFill="1" applyBorder="1" applyAlignment="1">
      <alignment horizontal="center" vertical="center"/>
    </xf>
    <xf numFmtId="2" fontId="3" fillId="4" borderId="55" xfId="0" applyNumberFormat="1" applyFont="1" applyFill="1" applyBorder="1" applyAlignment="1">
      <alignment horizontal="center" vertical="center"/>
    </xf>
    <xf numFmtId="0" fontId="0" fillId="0" borderId="53" xfId="0" applyBorder="1" applyAlignment="1">
      <alignment horizontal="center" vertical="center"/>
    </xf>
    <xf numFmtId="0" fontId="0" fillId="4" borderId="172" xfId="0" applyFill="1" applyBorder="1" applyAlignment="1">
      <alignment horizontal="left" vertical="center" wrapText="1"/>
    </xf>
    <xf numFmtId="0" fontId="0" fillId="4" borderId="133" xfId="0" applyFill="1" applyBorder="1" applyAlignment="1">
      <alignment horizontal="center" vertical="center"/>
    </xf>
    <xf numFmtId="0" fontId="0" fillId="4" borderId="173" xfId="0" applyFill="1" applyBorder="1" applyAlignment="1">
      <alignment horizontal="center" vertical="center"/>
    </xf>
    <xf numFmtId="3" fontId="3" fillId="4" borderId="169" xfId="0" applyNumberFormat="1" applyFont="1" applyFill="1" applyBorder="1" applyAlignment="1">
      <alignment horizontal="center" vertical="center"/>
    </xf>
    <xf numFmtId="3" fontId="3" fillId="4" borderId="170" xfId="0" applyNumberFormat="1" applyFont="1" applyFill="1" applyBorder="1" applyAlignment="1">
      <alignment horizontal="center" vertical="center"/>
    </xf>
    <xf numFmtId="3" fontId="3" fillId="4" borderId="171" xfId="0" applyNumberFormat="1" applyFont="1" applyFill="1" applyBorder="1" applyAlignment="1">
      <alignment horizontal="center" vertical="center"/>
    </xf>
    <xf numFmtId="3" fontId="3" fillId="4" borderId="229" xfId="0" applyNumberFormat="1" applyFont="1" applyFill="1" applyBorder="1" applyAlignment="1">
      <alignment horizontal="center" vertical="center"/>
    </xf>
    <xf numFmtId="169" fontId="3" fillId="4" borderId="229" xfId="0" applyNumberFormat="1" applyFont="1" applyFill="1" applyBorder="1" applyAlignment="1">
      <alignment horizontal="center" vertical="center"/>
    </xf>
    <xf numFmtId="170" fontId="3" fillId="4" borderId="229" xfId="0" applyNumberFormat="1" applyFont="1" applyFill="1" applyBorder="1" applyAlignment="1">
      <alignment horizontal="center" vertical="center"/>
    </xf>
    <xf numFmtId="169" fontId="3" fillId="4" borderId="233" xfId="0" applyNumberFormat="1" applyFont="1" applyFill="1" applyBorder="1" applyAlignment="1">
      <alignment horizontal="center" vertical="center"/>
    </xf>
    <xf numFmtId="3" fontId="3" fillId="4" borderId="111" xfId="0" applyNumberFormat="1" applyFont="1" applyFill="1" applyBorder="1" applyAlignment="1">
      <alignment horizontal="center" vertical="center"/>
    </xf>
    <xf numFmtId="169" fontId="3" fillId="4" borderId="111" xfId="0" applyNumberFormat="1" applyFont="1" applyFill="1" applyBorder="1" applyAlignment="1">
      <alignment horizontal="center" vertical="center"/>
    </xf>
    <xf numFmtId="170" fontId="3" fillId="4" borderId="111" xfId="0" applyNumberFormat="1" applyFont="1" applyFill="1" applyBorder="1" applyAlignment="1">
      <alignment horizontal="center" vertical="center"/>
    </xf>
    <xf numFmtId="4" fontId="3" fillId="4" borderId="111" xfId="0" applyNumberFormat="1" applyFont="1" applyFill="1" applyBorder="1" applyAlignment="1">
      <alignment horizontal="center" vertical="center"/>
    </xf>
    <xf numFmtId="169" fontId="3" fillId="4" borderId="108" xfId="0" applyNumberFormat="1" applyFont="1" applyFill="1" applyBorder="1" applyAlignment="1">
      <alignment horizontal="center" vertical="center"/>
    </xf>
    <xf numFmtId="0" fontId="0" fillId="4" borderId="234" xfId="0" applyFill="1" applyBorder="1" applyAlignment="1">
      <alignment horizontal="center" vertical="center"/>
    </xf>
    <xf numFmtId="1" fontId="0" fillId="0" borderId="105" xfId="0" applyNumberFormat="1" applyBorder="1" applyAlignment="1">
      <alignment vertical="center"/>
    </xf>
    <xf numFmtId="1" fontId="0" fillId="0" borderId="111" xfId="0" applyNumberFormat="1" applyBorder="1" applyAlignment="1">
      <alignment vertical="center"/>
    </xf>
    <xf numFmtId="1" fontId="0" fillId="0" borderId="108" xfId="0" applyNumberFormat="1" applyBorder="1" applyAlignment="1">
      <alignment vertical="center"/>
    </xf>
    <xf numFmtId="166" fontId="0" fillId="0" borderId="105" xfId="0" applyNumberFormat="1" applyBorder="1" applyAlignment="1">
      <alignment vertical="center"/>
    </xf>
    <xf numFmtId="166" fontId="0" fillId="0" borderId="111" xfId="0" applyNumberFormat="1" applyBorder="1" applyAlignment="1">
      <alignment vertical="center"/>
    </xf>
    <xf numFmtId="166" fontId="0" fillId="0" borderId="108" xfId="0" applyNumberFormat="1" applyBorder="1" applyAlignment="1">
      <alignment vertical="center"/>
    </xf>
    <xf numFmtId="167" fontId="0" fillId="0" borderId="108" xfId="0" applyNumberFormat="1" applyBorder="1" applyAlignment="1">
      <alignment vertical="center"/>
    </xf>
    <xf numFmtId="11" fontId="0" fillId="0" borderId="105" xfId="0" applyNumberFormat="1" applyBorder="1" applyAlignment="1">
      <alignment vertical="center"/>
    </xf>
    <xf numFmtId="11" fontId="0" fillId="0" borderId="105" xfId="0" applyNumberFormat="1" applyBorder="1" applyAlignment="1">
      <alignment horizontal="center" vertical="center"/>
    </xf>
    <xf numFmtId="11" fontId="0" fillId="0" borderId="111" xfId="0" applyNumberFormat="1" applyBorder="1" applyAlignment="1">
      <alignment vertical="center"/>
    </xf>
    <xf numFmtId="11" fontId="0" fillId="0" borderId="111" xfId="0" applyNumberFormat="1" applyBorder="1" applyAlignment="1">
      <alignment horizontal="center" vertical="center"/>
    </xf>
    <xf numFmtId="11" fontId="0" fillId="0" borderId="108" xfId="0" applyNumberFormat="1" applyBorder="1" applyAlignment="1">
      <alignment vertical="center"/>
    </xf>
    <xf numFmtId="11" fontId="0" fillId="0" borderId="108" xfId="0" applyNumberFormat="1" applyBorder="1" applyAlignment="1">
      <alignment horizontal="center" vertical="center"/>
    </xf>
    <xf numFmtId="167" fontId="0" fillId="0" borderId="111" xfId="0" applyNumberFormat="1" applyBorder="1" applyAlignment="1">
      <alignment vertical="center"/>
    </xf>
    <xf numFmtId="3" fontId="0" fillId="0" borderId="232" xfId="0" applyNumberFormat="1" applyBorder="1" applyAlignment="1">
      <alignment horizontal="right" indent="2"/>
    </xf>
    <xf numFmtId="0" fontId="14" fillId="0" borderId="97" xfId="0" applyFont="1" applyBorder="1" applyAlignment="1">
      <alignment horizontal="center" vertical="center"/>
    </xf>
    <xf numFmtId="0" fontId="0" fillId="4" borderId="235" xfId="0" applyFill="1" applyBorder="1" applyAlignment="1">
      <alignment horizontal="center" vertical="center"/>
    </xf>
    <xf numFmtId="1" fontId="0" fillId="9" borderId="38" xfId="0" applyNumberFormat="1" applyFill="1" applyBorder="1" applyAlignment="1">
      <alignment horizontal="center" vertical="center"/>
    </xf>
    <xf numFmtId="1" fontId="0" fillId="9" borderId="48" xfId="0" applyNumberFormat="1" applyFill="1" applyBorder="1" applyAlignment="1">
      <alignment horizontal="center" vertical="center"/>
    </xf>
    <xf numFmtId="0" fontId="2" fillId="0" borderId="48" xfId="0" applyFont="1" applyBorder="1" applyAlignment="1">
      <alignment horizontal="center" vertical="center"/>
    </xf>
    <xf numFmtId="1" fontId="2" fillId="0" borderId="38" xfId="0" applyNumberFormat="1" applyFont="1" applyBorder="1" applyAlignment="1">
      <alignment horizontal="center" vertical="center"/>
    </xf>
    <xf numFmtId="0" fontId="2" fillId="0" borderId="26" xfId="0" applyFont="1" applyBorder="1" applyAlignment="1">
      <alignment horizontal="left" vertical="center"/>
    </xf>
    <xf numFmtId="0" fontId="2" fillId="0" borderId="22" xfId="0" applyFont="1" applyBorder="1" applyAlignment="1">
      <alignment horizontal="left" vertical="center"/>
    </xf>
    <xf numFmtId="0" fontId="2" fillId="0" borderId="27" xfId="0" applyFont="1" applyBorder="1" applyAlignment="1">
      <alignment horizontal="left" vertical="center"/>
    </xf>
    <xf numFmtId="3" fontId="0" fillId="0" borderId="0" xfId="0" applyNumberFormat="1"/>
    <xf numFmtId="49" fontId="0" fillId="0" borderId="0" xfId="0" applyNumberFormat="1" applyAlignment="1">
      <alignment horizontal="left" vertical="center"/>
    </xf>
    <xf numFmtId="0" fontId="0" fillId="20" borderId="0" xfId="0" applyFill="1" applyAlignment="1">
      <alignment vertical="center"/>
    </xf>
    <xf numFmtId="0" fontId="0" fillId="4" borderId="0" xfId="0" applyFill="1" applyAlignment="1">
      <alignment vertical="center"/>
    </xf>
    <xf numFmtId="0" fontId="0" fillId="23" borderId="0" xfId="0" applyFill="1" applyAlignment="1">
      <alignment vertical="center"/>
    </xf>
    <xf numFmtId="0" fontId="0" fillId="0" borderId="0" xfId="0" applyAlignment="1">
      <alignment horizontal="center" vertical="top"/>
    </xf>
    <xf numFmtId="0" fontId="0" fillId="12" borderId="7" xfId="0" applyFill="1" applyBorder="1" applyAlignment="1">
      <alignment horizontal="left" vertical="center"/>
    </xf>
    <xf numFmtId="0" fontId="0" fillId="12" borderId="8" xfId="0" applyFill="1" applyBorder="1" applyAlignment="1">
      <alignment horizontal="left" vertical="center"/>
    </xf>
    <xf numFmtId="0" fontId="17" fillId="11" borderId="7" xfId="0" applyFont="1" applyFill="1" applyBorder="1" applyAlignment="1">
      <alignment horizontal="left" vertical="center"/>
    </xf>
    <xf numFmtId="0" fontId="17" fillId="11" borderId="8" xfId="0" applyFont="1" applyFill="1" applyBorder="1" applyAlignment="1">
      <alignment horizontal="left" vertical="center"/>
    </xf>
    <xf numFmtId="0" fontId="0" fillId="15" borderId="7" xfId="0" applyFill="1" applyBorder="1" applyAlignment="1">
      <alignment horizontal="left" vertical="center"/>
    </xf>
    <xf numFmtId="0" fontId="0" fillId="15" borderId="53" xfId="0" applyFill="1" applyBorder="1" applyAlignment="1">
      <alignment horizontal="left" vertical="center"/>
    </xf>
    <xf numFmtId="172" fontId="30" fillId="0" borderId="0" xfId="0" applyNumberFormat="1" applyFont="1" applyAlignment="1">
      <alignment horizontal="center" vertical="center"/>
    </xf>
    <xf numFmtId="173" fontId="30" fillId="0" borderId="0" xfId="0" applyNumberFormat="1" applyFont="1" applyAlignment="1">
      <alignment horizontal="center" vertical="center"/>
    </xf>
    <xf numFmtId="0" fontId="0" fillId="0" borderId="1" xfId="0" applyBorder="1" applyAlignment="1">
      <alignment horizontal="left" vertical="center" indent="1"/>
    </xf>
    <xf numFmtId="175" fontId="18" fillId="0" borderId="8" xfId="0" applyNumberFormat="1" applyFont="1" applyBorder="1" applyAlignment="1">
      <alignment horizontal="left" vertical="center"/>
    </xf>
    <xf numFmtId="0" fontId="19" fillId="0" borderId="1" xfId="0" applyFont="1" applyBorder="1" applyAlignment="1">
      <alignment vertical="center"/>
    </xf>
    <xf numFmtId="165" fontId="0" fillId="0" borderId="7" xfId="0" applyNumberFormat="1" applyBorder="1" applyAlignment="1">
      <alignment horizontal="center" vertical="center"/>
    </xf>
    <xf numFmtId="0" fontId="0" fillId="0" borderId="97" xfId="0" applyBorder="1" applyAlignment="1">
      <alignment horizontal="center" vertical="center"/>
    </xf>
    <xf numFmtId="2" fontId="0" fillId="0" borderId="97" xfId="0" applyNumberFormat="1" applyBorder="1" applyAlignment="1">
      <alignment horizontal="center" vertical="center"/>
    </xf>
    <xf numFmtId="0" fontId="14" fillId="0" borderId="53" xfId="0" applyFont="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0" fillId="0" borderId="0" xfId="0" applyAlignment="1">
      <alignment horizontal="right" vertical="center"/>
    </xf>
    <xf numFmtId="9" fontId="0" fillId="0" borderId="0" xfId="4" applyFont="1" applyAlignment="1">
      <alignment vertical="center"/>
    </xf>
    <xf numFmtId="0" fontId="13" fillId="16" borderId="0" xfId="0" applyFont="1" applyFill="1" applyAlignment="1">
      <alignment horizontal="center" vertical="center"/>
    </xf>
    <xf numFmtId="0" fontId="14" fillId="19" borderId="0" xfId="0" applyFont="1" applyFill="1" applyAlignment="1">
      <alignment horizontal="left" vertical="center"/>
    </xf>
    <xf numFmtId="0" fontId="0" fillId="0" borderId="0" xfId="0" applyAlignment="1">
      <alignment horizontal="center" vertical="center"/>
    </xf>
    <xf numFmtId="0" fontId="14" fillId="0" borderId="0" xfId="0" applyFont="1" applyAlignment="1">
      <alignment horizontal="left"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49" fontId="0" fillId="0" borderId="0" xfId="0" applyNumberFormat="1" applyAlignment="1">
      <alignment horizontal="left" vertical="center" wrapText="1"/>
    </xf>
    <xf numFmtId="49" fontId="0" fillId="0" borderId="0" xfId="0" applyNumberFormat="1" applyAlignment="1">
      <alignment horizontal="left" vertical="center"/>
    </xf>
    <xf numFmtId="0" fontId="0" fillId="0" borderId="0" xfId="0" applyAlignment="1">
      <alignment horizontal="center" vertical="top"/>
    </xf>
    <xf numFmtId="0" fontId="14" fillId="22" borderId="0" xfId="0" applyFont="1" applyFill="1" applyAlignment="1">
      <alignment horizontal="left" vertical="center"/>
    </xf>
    <xf numFmtId="49" fontId="0" fillId="0" borderId="0" xfId="0" quotePrefix="1" applyNumberFormat="1" applyAlignment="1">
      <alignment horizontal="left" vertical="center"/>
    </xf>
    <xf numFmtId="0" fontId="0" fillId="0" borderId="0" xfId="0" applyAlignment="1">
      <alignment horizontal="left" vertical="center"/>
    </xf>
    <xf numFmtId="49" fontId="0" fillId="0" borderId="0" xfId="0" applyNumberFormat="1" applyAlignment="1">
      <alignment horizontal="left" vertical="top" wrapText="1"/>
    </xf>
    <xf numFmtId="0" fontId="33" fillId="12" borderId="89" xfId="0" applyFont="1" applyFill="1" applyBorder="1" applyAlignment="1">
      <alignment horizontal="left" vertical="center"/>
    </xf>
    <xf numFmtId="0" fontId="33" fillId="12" borderId="90" xfId="0" applyFont="1" applyFill="1" applyBorder="1" applyAlignment="1">
      <alignment horizontal="left" vertical="center"/>
    </xf>
    <xf numFmtId="0" fontId="33" fillId="12" borderId="91" xfId="0" applyFont="1" applyFill="1" applyBorder="1" applyAlignment="1">
      <alignment horizontal="left" vertical="center"/>
    </xf>
    <xf numFmtId="0" fontId="33" fillId="12" borderId="92" xfId="0" applyFont="1" applyFill="1" applyBorder="1" applyAlignment="1">
      <alignment horizontal="left" vertical="center"/>
    </xf>
    <xf numFmtId="0" fontId="33" fillId="12" borderId="0" xfId="0" applyFont="1" applyFill="1" applyAlignment="1">
      <alignment horizontal="left" vertical="center"/>
    </xf>
    <xf numFmtId="0" fontId="33" fillId="12" borderId="93" xfId="0" applyFont="1" applyFill="1" applyBorder="1" applyAlignment="1">
      <alignment horizontal="left" vertical="center"/>
    </xf>
    <xf numFmtId="0" fontId="17" fillId="11" borderId="0" xfId="0" applyFont="1" applyFill="1" applyAlignment="1">
      <alignment horizontal="center" vertical="center"/>
    </xf>
    <xf numFmtId="0" fontId="33" fillId="15" borderId="92" xfId="0" applyFont="1" applyFill="1" applyBorder="1" applyAlignment="1">
      <alignment horizontal="left" vertical="center"/>
    </xf>
    <xf numFmtId="0" fontId="33" fillId="15" borderId="0" xfId="0" applyFont="1" applyFill="1" applyAlignment="1">
      <alignment horizontal="left" vertical="center"/>
    </xf>
    <xf numFmtId="0" fontId="33" fillId="15" borderId="93" xfId="0" applyFont="1" applyFill="1" applyBorder="1" applyAlignment="1">
      <alignment horizontal="left" vertical="center"/>
    </xf>
    <xf numFmtId="0" fontId="33" fillId="15" borderId="94" xfId="0" applyFont="1" applyFill="1" applyBorder="1" applyAlignment="1">
      <alignment horizontal="left" vertical="center"/>
    </xf>
    <xf numFmtId="0" fontId="33" fillId="15" borderId="95" xfId="0" applyFont="1" applyFill="1" applyBorder="1" applyAlignment="1">
      <alignment horizontal="left" vertical="center"/>
    </xf>
    <xf numFmtId="0" fontId="33" fillId="15" borderId="96" xfId="0" applyFont="1" applyFill="1" applyBorder="1" applyAlignment="1">
      <alignment horizontal="left" vertical="center"/>
    </xf>
    <xf numFmtId="0" fontId="34" fillId="11" borderId="92" xfId="0" applyFont="1" applyFill="1" applyBorder="1" applyAlignment="1">
      <alignment horizontal="left" vertical="center" wrapText="1"/>
    </xf>
    <xf numFmtId="0" fontId="34" fillId="11" borderId="0" xfId="0" applyFont="1" applyFill="1" applyAlignment="1">
      <alignment horizontal="left" vertical="center" wrapText="1"/>
    </xf>
    <xf numFmtId="0" fontId="34" fillId="11" borderId="93" xfId="0" applyFont="1" applyFill="1" applyBorder="1" applyAlignment="1">
      <alignment horizontal="left" vertical="center" wrapText="1"/>
    </xf>
    <xf numFmtId="174" fontId="30" fillId="0" borderId="1" xfId="0" applyNumberFormat="1" applyFont="1" applyBorder="1" applyAlignment="1">
      <alignment horizontal="left" vertical="center" indent="1"/>
    </xf>
    <xf numFmtId="174" fontId="30" fillId="0" borderId="0" xfId="0" applyNumberFormat="1" applyFont="1" applyAlignment="1">
      <alignment horizontal="left" vertical="center" indent="1"/>
    </xf>
    <xf numFmtId="0" fontId="0" fillId="7" borderId="7" xfId="0" applyFill="1" applyBorder="1" applyAlignment="1">
      <alignment horizontal="center" vertical="center"/>
    </xf>
    <xf numFmtId="0" fontId="0" fillId="7" borderId="6" xfId="0" applyFill="1" applyBorder="1" applyAlignment="1">
      <alignment horizontal="center" vertical="center"/>
    </xf>
    <xf numFmtId="0" fontId="0" fillId="7" borderId="8" xfId="0" applyFill="1" applyBorder="1" applyAlignment="1">
      <alignment horizontal="center" vertical="center"/>
    </xf>
    <xf numFmtId="0" fontId="0" fillId="8" borderId="13" xfId="0" applyFill="1" applyBorder="1" applyAlignment="1">
      <alignment horizontal="center" vertical="center" wrapText="1"/>
    </xf>
    <xf numFmtId="0" fontId="0" fillId="8" borderId="11" xfId="0" applyFill="1" applyBorder="1" applyAlignment="1">
      <alignment horizontal="center" vertical="center"/>
    </xf>
    <xf numFmtId="0" fontId="0" fillId="8" borderId="13" xfId="0" applyFill="1" applyBorder="1" applyAlignment="1">
      <alignment horizontal="center" vertical="center"/>
    </xf>
    <xf numFmtId="0" fontId="19" fillId="0" borderId="0" xfId="0" applyFont="1" applyAlignment="1">
      <alignment horizontal="left" vertical="center" wrapText="1"/>
    </xf>
    <xf numFmtId="0" fontId="19" fillId="0" borderId="2" xfId="0" applyFont="1" applyBorder="1" applyAlignment="1">
      <alignment horizontal="left" vertical="center" wrapText="1"/>
    </xf>
    <xf numFmtId="0" fontId="0" fillId="8" borderId="14" xfId="0" applyFill="1" applyBorder="1" applyAlignment="1">
      <alignment horizontal="left" vertical="center"/>
    </xf>
    <xf numFmtId="0" fontId="0" fillId="8" borderId="16" xfId="0" applyFill="1" applyBorder="1" applyAlignment="1">
      <alignment horizontal="left" vertical="center"/>
    </xf>
    <xf numFmtId="0" fontId="0" fillId="8" borderId="12" xfId="0" applyFill="1" applyBorder="1" applyAlignment="1">
      <alignment horizontal="left" vertical="center"/>
    </xf>
    <xf numFmtId="0" fontId="0" fillId="8" borderId="15" xfId="0" applyFill="1" applyBorder="1" applyAlignment="1">
      <alignment horizontal="left" vertical="center"/>
    </xf>
    <xf numFmtId="0" fontId="0" fillId="0" borderId="17" xfId="0" applyBorder="1" applyAlignment="1">
      <alignment horizontal="left" vertical="center"/>
    </xf>
    <xf numFmtId="0" fontId="0" fillId="0" borderId="9" xfId="0" applyBorder="1" applyAlignment="1">
      <alignment horizontal="center" vertical="center"/>
    </xf>
    <xf numFmtId="1" fontId="0" fillId="0" borderId="10" xfId="0" applyNumberFormat="1" applyBorder="1" applyAlignment="1">
      <alignment horizontal="center" vertical="center"/>
    </xf>
    <xf numFmtId="1" fontId="0" fillId="0" borderId="36" xfId="0" applyNumberFormat="1" applyBorder="1" applyAlignment="1">
      <alignment horizontal="center" vertical="center"/>
    </xf>
    <xf numFmtId="0" fontId="0" fillId="0" borderId="17" xfId="0"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center" vertical="center"/>
    </xf>
    <xf numFmtId="0" fontId="0" fillId="0" borderId="9" xfId="0" applyBorder="1" applyAlignment="1">
      <alignment horizontal="center" vertical="center" wrapText="1"/>
    </xf>
    <xf numFmtId="0" fontId="0" fillId="0" borderId="20" xfId="0" applyBorder="1" applyAlignment="1">
      <alignment horizontal="center" vertical="center" wrapText="1"/>
    </xf>
    <xf numFmtId="0" fontId="42" fillId="16" borderId="0" xfId="0" applyFont="1" applyFill="1" applyAlignment="1">
      <alignment horizontal="center" vertical="center"/>
    </xf>
    <xf numFmtId="0" fontId="0" fillId="6" borderId="53" xfId="0" applyFill="1" applyBorder="1" applyAlignment="1">
      <alignment horizontal="center"/>
    </xf>
    <xf numFmtId="0" fontId="14" fillId="0" borderId="232" xfId="0" applyFont="1" applyBorder="1" applyAlignment="1">
      <alignment horizontal="center" vertical="center"/>
    </xf>
    <xf numFmtId="0" fontId="14" fillId="0" borderId="232" xfId="0" applyFont="1" applyBorder="1" applyAlignment="1">
      <alignment horizontal="center"/>
    </xf>
    <xf numFmtId="0" fontId="14" fillId="0" borderId="0" xfId="0" applyFont="1" applyAlignment="1">
      <alignment horizontal="center" vertical="center"/>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xf>
    <xf numFmtId="0" fontId="0" fillId="4" borderId="120" xfId="0" applyFill="1" applyBorder="1" applyAlignment="1">
      <alignment horizontal="center" vertical="center"/>
    </xf>
    <xf numFmtId="0" fontId="0" fillId="4" borderId="121" xfId="0" applyFill="1" applyBorder="1" applyAlignment="1">
      <alignment horizontal="center" vertical="center"/>
    </xf>
    <xf numFmtId="0" fontId="0" fillId="4" borderId="122" xfId="0" applyFill="1" applyBorder="1" applyAlignment="1">
      <alignment horizontal="center" vertical="center"/>
    </xf>
    <xf numFmtId="44" fontId="0" fillId="12" borderId="130" xfId="0" applyNumberFormat="1" applyFill="1" applyBorder="1" applyAlignment="1">
      <alignment vertical="center"/>
    </xf>
    <xf numFmtId="44" fontId="0" fillId="12" borderId="131" xfId="0" applyNumberFormat="1" applyFill="1" applyBorder="1" applyAlignment="1">
      <alignment vertical="center"/>
    </xf>
    <xf numFmtId="44" fontId="0" fillId="12" borderId="132" xfId="0" applyNumberFormat="1" applyFill="1" applyBorder="1" applyAlignment="1">
      <alignment vertical="center"/>
    </xf>
    <xf numFmtId="0" fontId="0" fillId="0" borderId="86" xfId="0" applyBorder="1" applyAlignment="1">
      <alignment horizontal="center" vertical="center"/>
    </xf>
    <xf numFmtId="44" fontId="0" fillId="12" borderId="118" xfId="0" applyNumberFormat="1" applyFill="1" applyBorder="1" applyAlignment="1">
      <alignment vertical="center"/>
    </xf>
    <xf numFmtId="44" fontId="0" fillId="12" borderId="111" xfId="0" applyNumberFormat="1" applyFill="1" applyBorder="1" applyAlignment="1">
      <alignment vertical="center"/>
    </xf>
    <xf numFmtId="44" fontId="0" fillId="12" borderId="129" xfId="0" applyNumberFormat="1" applyFill="1" applyBorder="1" applyAlignment="1">
      <alignment vertical="center"/>
    </xf>
    <xf numFmtId="0" fontId="0" fillId="4" borderId="62" xfId="0" applyFill="1" applyBorder="1" applyAlignment="1">
      <alignment horizontal="center" vertical="center"/>
    </xf>
    <xf numFmtId="0" fontId="0" fillId="4" borderId="61" xfId="0" applyFill="1" applyBorder="1" applyAlignment="1">
      <alignment horizontal="center" vertical="center"/>
    </xf>
    <xf numFmtId="0" fontId="0" fillId="4" borderId="63" xfId="0" applyFill="1" applyBorder="1" applyAlignment="1">
      <alignment horizontal="center" vertical="center"/>
    </xf>
    <xf numFmtId="0" fontId="14" fillId="14" borderId="3" xfId="0" applyFont="1" applyFill="1" applyBorder="1" applyAlignment="1">
      <alignment horizontal="center" vertical="center"/>
    </xf>
    <xf numFmtId="0" fontId="14" fillId="14" borderId="4" xfId="0" applyFont="1" applyFill="1" applyBorder="1" applyAlignment="1">
      <alignment horizontal="center" vertical="center"/>
    </xf>
    <xf numFmtId="0" fontId="14" fillId="14" borderId="5" xfId="0" applyFont="1" applyFill="1" applyBorder="1" applyAlignment="1">
      <alignment horizontal="center" vertical="center"/>
    </xf>
    <xf numFmtId="1" fontId="0" fillId="4" borderId="56" xfId="0" applyNumberFormat="1" applyFill="1" applyBorder="1" applyAlignment="1">
      <alignment horizontal="center" vertical="center"/>
    </xf>
    <xf numFmtId="1" fontId="0" fillId="4" borderId="55" xfId="0" applyNumberFormat="1" applyFill="1" applyBorder="1" applyAlignment="1">
      <alignment horizontal="center" vertical="center"/>
    </xf>
    <xf numFmtId="1" fontId="0" fillId="4" borderId="54" xfId="0" applyNumberFormat="1" applyFill="1" applyBorder="1" applyAlignment="1">
      <alignment horizontal="center" vertical="center"/>
    </xf>
    <xf numFmtId="0" fontId="0" fillId="4" borderId="84" xfId="0" applyFill="1" applyBorder="1" applyAlignment="1">
      <alignment horizontal="center" vertical="center"/>
    </xf>
    <xf numFmtId="0" fontId="0" fillId="4" borderId="83" xfId="0" applyFill="1" applyBorder="1" applyAlignment="1">
      <alignment horizontal="center" vertical="center"/>
    </xf>
    <xf numFmtId="0" fontId="0" fillId="4" borderId="85" xfId="0" applyFill="1" applyBorder="1" applyAlignment="1">
      <alignment horizontal="center" vertical="center"/>
    </xf>
    <xf numFmtId="0" fontId="28" fillId="4" borderId="56" xfId="0" applyFont="1" applyFill="1" applyBorder="1" applyAlignment="1">
      <alignment horizontal="center" vertical="center"/>
    </xf>
    <xf numFmtId="0" fontId="28" fillId="4" borderId="55" xfId="0" applyFont="1" applyFill="1" applyBorder="1" applyAlignment="1">
      <alignment horizontal="center" vertical="center"/>
    </xf>
    <xf numFmtId="0" fontId="28" fillId="4" borderId="54" xfId="0" applyFont="1" applyFill="1" applyBorder="1" applyAlignment="1">
      <alignment horizontal="center" vertical="center"/>
    </xf>
    <xf numFmtId="2" fontId="0" fillId="4" borderId="59" xfId="0" applyNumberFormat="1" applyFill="1" applyBorder="1" applyAlignment="1">
      <alignment horizontal="center" vertical="center"/>
    </xf>
    <xf numFmtId="2" fontId="0" fillId="4" borderId="58" xfId="0" applyNumberFormat="1" applyFill="1" applyBorder="1" applyAlignment="1">
      <alignment horizontal="center" vertical="center"/>
    </xf>
    <xf numFmtId="2" fontId="0" fillId="4" borderId="57" xfId="0" applyNumberFormat="1" applyFill="1" applyBorder="1" applyAlignment="1">
      <alignment horizontal="center" vertical="center"/>
    </xf>
    <xf numFmtId="2" fontId="0" fillId="4" borderId="62" xfId="0" applyNumberFormat="1" applyFill="1" applyBorder="1" applyAlignment="1">
      <alignment horizontal="center" vertical="center"/>
    </xf>
    <xf numFmtId="2" fontId="0" fillId="4" borderId="61" xfId="0" applyNumberFormat="1" applyFill="1" applyBorder="1" applyAlignment="1">
      <alignment horizontal="center" vertical="center"/>
    </xf>
    <xf numFmtId="2" fontId="0" fillId="4" borderId="63" xfId="0" applyNumberFormat="1" applyFill="1" applyBorder="1" applyAlignment="1">
      <alignment horizontal="center" vertical="center"/>
    </xf>
    <xf numFmtId="1" fontId="0" fillId="4" borderId="67" xfId="0" applyNumberFormat="1" applyFill="1" applyBorder="1" applyAlignment="1">
      <alignment horizontal="center" vertical="center"/>
    </xf>
    <xf numFmtId="1" fontId="0" fillId="4" borderId="66" xfId="0" applyNumberFormat="1" applyFill="1" applyBorder="1" applyAlignment="1">
      <alignment horizontal="center" vertical="center"/>
    </xf>
    <xf numFmtId="1" fontId="0" fillId="4" borderId="68" xfId="0" applyNumberFormat="1" applyFill="1" applyBorder="1" applyAlignment="1">
      <alignment horizontal="center" vertical="center"/>
    </xf>
    <xf numFmtId="2" fontId="0" fillId="4" borderId="73" xfId="0" applyNumberFormat="1" applyFill="1" applyBorder="1" applyAlignment="1">
      <alignment horizontal="center" vertical="center"/>
    </xf>
    <xf numFmtId="2" fontId="0" fillId="4" borderId="72" xfId="0" applyNumberFormat="1" applyFill="1" applyBorder="1" applyAlignment="1">
      <alignment horizontal="center" vertical="center"/>
    </xf>
    <xf numFmtId="2" fontId="0" fillId="4" borderId="74" xfId="0" applyNumberFormat="1" applyFill="1" applyBorder="1" applyAlignment="1">
      <alignment horizontal="center" vertical="center"/>
    </xf>
    <xf numFmtId="1" fontId="0" fillId="4" borderId="59" xfId="0" applyNumberFormat="1" applyFill="1" applyBorder="1" applyAlignment="1">
      <alignment horizontal="center" vertical="center"/>
    </xf>
    <xf numFmtId="1" fontId="0" fillId="4" borderId="58" xfId="0" applyNumberFormat="1" applyFill="1" applyBorder="1" applyAlignment="1">
      <alignment horizontal="center" vertical="center"/>
    </xf>
    <xf numFmtId="1" fontId="0" fillId="4" borderId="57" xfId="0" applyNumberFormat="1" applyFill="1" applyBorder="1" applyAlignment="1">
      <alignment horizontal="center" vertical="center"/>
    </xf>
    <xf numFmtId="2" fontId="28" fillId="4" borderId="62" xfId="0" applyNumberFormat="1" applyFont="1" applyFill="1" applyBorder="1" applyAlignment="1">
      <alignment horizontal="center" vertical="center"/>
    </xf>
    <xf numFmtId="2" fontId="28" fillId="4" borderId="61" xfId="0" applyNumberFormat="1" applyFont="1" applyFill="1" applyBorder="1" applyAlignment="1">
      <alignment horizontal="center" vertical="center"/>
    </xf>
    <xf numFmtId="2" fontId="28" fillId="4" borderId="63" xfId="0" applyNumberFormat="1" applyFont="1" applyFill="1" applyBorder="1" applyAlignment="1">
      <alignment horizontal="center" vertical="center"/>
    </xf>
    <xf numFmtId="1" fontId="28" fillId="4" borderId="70" xfId="0" applyNumberFormat="1" applyFont="1" applyFill="1" applyBorder="1" applyAlignment="1">
      <alignment horizontal="center" vertical="center"/>
    </xf>
    <xf numFmtId="1" fontId="28" fillId="4" borderId="69" xfId="0" applyNumberFormat="1" applyFont="1" applyFill="1" applyBorder="1" applyAlignment="1">
      <alignment horizontal="center" vertical="center"/>
    </xf>
    <xf numFmtId="1" fontId="28" fillId="4" borderId="71" xfId="0" applyNumberFormat="1" applyFont="1" applyFill="1" applyBorder="1" applyAlignment="1">
      <alignment horizontal="center" vertical="center"/>
    </xf>
    <xf numFmtId="2" fontId="28" fillId="4" borderId="59" xfId="0" applyNumberFormat="1" applyFont="1" applyFill="1" applyBorder="1" applyAlignment="1">
      <alignment horizontal="center" vertical="center"/>
    </xf>
    <xf numFmtId="2" fontId="28" fillId="4" borderId="58" xfId="0" applyNumberFormat="1" applyFont="1" applyFill="1" applyBorder="1" applyAlignment="1">
      <alignment horizontal="center" vertical="center"/>
    </xf>
    <xf numFmtId="2" fontId="28" fillId="4" borderId="57" xfId="0" applyNumberFormat="1" applyFont="1" applyFill="1" applyBorder="1" applyAlignment="1">
      <alignment horizontal="center" vertical="center"/>
    </xf>
    <xf numFmtId="2" fontId="0" fillId="4" borderId="67" xfId="0" applyNumberFormat="1" applyFill="1" applyBorder="1" applyAlignment="1">
      <alignment horizontal="center" vertical="center"/>
    </xf>
    <xf numFmtId="2" fontId="0" fillId="4" borderId="66" xfId="0" applyNumberFormat="1" applyFill="1" applyBorder="1" applyAlignment="1">
      <alignment horizontal="center" vertical="center"/>
    </xf>
    <xf numFmtId="2" fontId="0" fillId="4" borderId="68" xfId="0" applyNumberFormat="1" applyFill="1" applyBorder="1" applyAlignment="1">
      <alignment horizontal="center" vertical="center"/>
    </xf>
    <xf numFmtId="2" fontId="28" fillId="4" borderId="73" xfId="0" applyNumberFormat="1" applyFont="1" applyFill="1" applyBorder="1" applyAlignment="1">
      <alignment horizontal="center" vertical="center"/>
    </xf>
    <xf numFmtId="2" fontId="28" fillId="4" borderId="72" xfId="0" applyNumberFormat="1" applyFont="1" applyFill="1" applyBorder="1" applyAlignment="1">
      <alignment horizontal="center" vertical="center"/>
    </xf>
    <xf numFmtId="2" fontId="28" fillId="4" borderId="74" xfId="0" applyNumberFormat="1" applyFont="1" applyFill="1" applyBorder="1" applyAlignment="1">
      <alignment horizontal="center" vertical="center"/>
    </xf>
    <xf numFmtId="1" fontId="28" fillId="4" borderId="62" xfId="0" applyNumberFormat="1" applyFont="1" applyFill="1" applyBorder="1" applyAlignment="1">
      <alignment horizontal="center" vertical="center"/>
    </xf>
    <xf numFmtId="1" fontId="28" fillId="4" borderId="61" xfId="0" applyNumberFormat="1" applyFont="1" applyFill="1" applyBorder="1" applyAlignment="1">
      <alignment horizontal="center" vertical="center"/>
    </xf>
    <xf numFmtId="2" fontId="0" fillId="4" borderId="70" xfId="0" applyNumberFormat="1" applyFill="1" applyBorder="1" applyAlignment="1">
      <alignment horizontal="center" vertical="center"/>
    </xf>
    <xf numFmtId="2" fontId="0" fillId="4" borderId="69" xfId="0" applyNumberFormat="1" applyFill="1" applyBorder="1" applyAlignment="1">
      <alignment horizontal="center" vertical="center"/>
    </xf>
    <xf numFmtId="2" fontId="0" fillId="4" borderId="71" xfId="0" applyNumberFormat="1" applyFill="1" applyBorder="1" applyAlignment="1">
      <alignment horizontal="center" vertical="center"/>
    </xf>
    <xf numFmtId="2" fontId="28" fillId="4" borderId="56" xfId="0" applyNumberFormat="1" applyFont="1" applyFill="1" applyBorder="1" applyAlignment="1">
      <alignment horizontal="center" vertical="center"/>
    </xf>
    <xf numFmtId="2" fontId="28" fillId="4" borderId="55" xfId="0" applyNumberFormat="1" applyFont="1" applyFill="1" applyBorder="1" applyAlignment="1">
      <alignment horizontal="center" vertical="center"/>
    </xf>
    <xf numFmtId="2" fontId="28" fillId="4" borderId="54" xfId="0" applyNumberFormat="1" applyFont="1" applyFill="1" applyBorder="1" applyAlignment="1">
      <alignment horizontal="center" vertical="center"/>
    </xf>
    <xf numFmtId="2" fontId="0" fillId="4" borderId="1" xfId="0" applyNumberFormat="1" applyFill="1" applyBorder="1" applyAlignment="1">
      <alignment horizontal="center" vertical="center"/>
    </xf>
    <xf numFmtId="2" fontId="0" fillId="4" borderId="0" xfId="0" applyNumberFormat="1" applyFill="1" applyAlignment="1">
      <alignment horizontal="center" vertical="center"/>
    </xf>
    <xf numFmtId="2" fontId="0" fillId="4" borderId="2" xfId="0" applyNumberFormat="1" applyFill="1" applyBorder="1" applyAlignment="1">
      <alignment horizontal="center" vertical="center"/>
    </xf>
    <xf numFmtId="0" fontId="0" fillId="4" borderId="56" xfId="0" applyFill="1" applyBorder="1" applyAlignment="1">
      <alignment horizontal="center" vertical="center"/>
    </xf>
    <xf numFmtId="0" fontId="0" fillId="4" borderId="55" xfId="0" applyFill="1" applyBorder="1" applyAlignment="1">
      <alignment horizontal="center" vertical="center"/>
    </xf>
    <xf numFmtId="0" fontId="0" fillId="4" borderId="54" xfId="0" applyFill="1" applyBorder="1" applyAlignment="1">
      <alignment horizontal="center" vertical="center"/>
    </xf>
    <xf numFmtId="44" fontId="0" fillId="12" borderId="126" xfId="0" applyNumberFormat="1" applyFill="1" applyBorder="1" applyAlignment="1">
      <alignment vertical="center"/>
    </xf>
    <xf numFmtId="44" fontId="0" fillId="12" borderId="127" xfId="0" applyNumberFormat="1" applyFill="1" applyBorder="1" applyAlignment="1">
      <alignment vertical="center"/>
    </xf>
    <xf numFmtId="44" fontId="0" fillId="12" borderId="128" xfId="0" applyNumberFormat="1" applyFill="1" applyBorder="1" applyAlignment="1">
      <alignment vertical="center"/>
    </xf>
    <xf numFmtId="0" fontId="0" fillId="3" borderId="65" xfId="0" applyFill="1" applyBorder="1" applyAlignment="1">
      <alignment horizontal="center" vertical="center"/>
    </xf>
    <xf numFmtId="0" fontId="0" fillId="3" borderId="64" xfId="0" applyFill="1" applyBorder="1" applyAlignment="1">
      <alignment horizontal="center" vertical="center"/>
    </xf>
    <xf numFmtId="0" fontId="0" fillId="3" borderId="60" xfId="0" applyFill="1" applyBorder="1" applyAlignment="1">
      <alignment horizontal="center" vertical="center"/>
    </xf>
    <xf numFmtId="164" fontId="0" fillId="0" borderId="1" xfId="0" applyNumberFormat="1" applyBorder="1" applyAlignment="1">
      <alignment horizontal="center" vertical="center"/>
    </xf>
    <xf numFmtId="164" fontId="0" fillId="0" borderId="0" xfId="0" applyNumberFormat="1" applyAlignment="1">
      <alignment horizontal="center" vertical="center"/>
    </xf>
    <xf numFmtId="164" fontId="0" fillId="0" borderId="2" xfId="0" applyNumberForma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164" fontId="0" fillId="0" borderId="86" xfId="0" applyNumberFormat="1" applyBorder="1" applyAlignment="1">
      <alignment horizontal="center" vertical="center"/>
    </xf>
    <xf numFmtId="2" fontId="0" fillId="12" borderId="67" xfId="0" applyNumberFormat="1" applyFill="1" applyBorder="1" applyAlignment="1">
      <alignment horizontal="center" vertical="center"/>
    </xf>
    <xf numFmtId="2" fontId="0" fillId="12" borderId="66" xfId="0" applyNumberFormat="1" applyFill="1" applyBorder="1" applyAlignment="1">
      <alignment horizontal="center" vertical="center"/>
    </xf>
    <xf numFmtId="2" fontId="0" fillId="12" borderId="68" xfId="0" applyNumberFormat="1" applyFill="1" applyBorder="1" applyAlignment="1">
      <alignment horizontal="center" vertical="center"/>
    </xf>
    <xf numFmtId="164" fontId="0" fillId="3" borderId="65" xfId="0" applyNumberFormat="1" applyFill="1" applyBorder="1" applyAlignment="1">
      <alignment horizontal="center" vertical="center"/>
    </xf>
    <xf numFmtId="164" fontId="0" fillId="3" borderId="64" xfId="0" applyNumberFormat="1" applyFill="1" applyBorder="1" applyAlignment="1">
      <alignment horizontal="center" vertical="center"/>
    </xf>
    <xf numFmtId="164" fontId="0" fillId="3" borderId="60" xfId="0" applyNumberFormat="1" applyFill="1" applyBorder="1" applyAlignment="1">
      <alignment horizontal="center" vertical="center"/>
    </xf>
    <xf numFmtId="2" fontId="0" fillId="12" borderId="59" xfId="0" applyNumberFormat="1" applyFill="1" applyBorder="1" applyAlignment="1">
      <alignment horizontal="center" vertical="center"/>
    </xf>
    <xf numFmtId="2" fontId="0" fillId="12" borderId="58" xfId="0" applyNumberFormat="1" applyFill="1" applyBorder="1" applyAlignment="1">
      <alignment horizontal="center" vertical="center"/>
    </xf>
    <xf numFmtId="2" fontId="0" fillId="12" borderId="57" xfId="0" applyNumberFormat="1" applyFill="1" applyBorder="1" applyAlignment="1">
      <alignment horizontal="center" vertical="center"/>
    </xf>
    <xf numFmtId="2" fontId="28" fillId="12" borderId="59" xfId="0" applyNumberFormat="1" applyFont="1" applyFill="1" applyBorder="1" applyAlignment="1">
      <alignment horizontal="center" vertical="center"/>
    </xf>
    <xf numFmtId="2" fontId="28" fillId="12" borderId="58" xfId="0" applyNumberFormat="1" applyFont="1" applyFill="1" applyBorder="1" applyAlignment="1">
      <alignment horizontal="center" vertical="center"/>
    </xf>
    <xf numFmtId="2" fontId="28" fillId="12" borderId="57" xfId="0" applyNumberFormat="1" applyFont="1" applyFill="1" applyBorder="1" applyAlignment="1">
      <alignment horizontal="center" vertical="center"/>
    </xf>
    <xf numFmtId="0" fontId="3" fillId="13" borderId="0" xfId="0" applyFont="1" applyFill="1" applyAlignment="1">
      <alignment horizontal="left" vertical="center"/>
    </xf>
    <xf numFmtId="2" fontId="0" fillId="12" borderId="70" xfId="0" applyNumberFormat="1" applyFill="1" applyBorder="1" applyAlignment="1">
      <alignment horizontal="center" vertical="center"/>
    </xf>
    <xf numFmtId="2" fontId="0" fillId="12" borderId="69" xfId="0" applyNumberFormat="1" applyFill="1" applyBorder="1" applyAlignment="1">
      <alignment horizontal="center" vertical="center"/>
    </xf>
    <xf numFmtId="2" fontId="0" fillId="12" borderId="71" xfId="0" applyNumberFormat="1" applyFill="1" applyBorder="1" applyAlignment="1">
      <alignment horizontal="center" vertical="center"/>
    </xf>
    <xf numFmtId="44" fontId="0" fillId="12" borderId="119" xfId="0" applyNumberFormat="1" applyFill="1" applyBorder="1" applyAlignment="1">
      <alignment vertical="center"/>
    </xf>
    <xf numFmtId="44" fontId="0" fillId="12" borderId="108" xfId="0" applyNumberFormat="1" applyFill="1" applyBorder="1" applyAlignment="1">
      <alignment vertical="center"/>
    </xf>
    <xf numFmtId="44" fontId="0" fillId="12" borderId="110" xfId="0" applyNumberFormat="1" applyFill="1" applyBorder="1" applyAlignment="1">
      <alignment vertical="center"/>
    </xf>
    <xf numFmtId="0" fontId="0" fillId="0" borderId="84" xfId="0" applyBorder="1" applyAlignment="1">
      <alignment horizontal="center" vertical="center"/>
    </xf>
    <xf numFmtId="0" fontId="0" fillId="0" borderId="83" xfId="0" applyBorder="1" applyAlignment="1">
      <alignment horizontal="center" vertical="center"/>
    </xf>
    <xf numFmtId="1" fontId="3" fillId="4" borderId="56" xfId="0" applyNumberFormat="1" applyFont="1" applyFill="1" applyBorder="1" applyAlignment="1">
      <alignment horizontal="center" vertical="center"/>
    </xf>
    <xf numFmtId="1" fontId="3" fillId="4" borderId="55" xfId="0" applyNumberFormat="1" applyFont="1" applyFill="1" applyBorder="1" applyAlignment="1">
      <alignment horizontal="center" vertical="center"/>
    </xf>
    <xf numFmtId="1" fontId="3" fillId="4" borderId="54" xfId="0" applyNumberFormat="1" applyFont="1" applyFill="1" applyBorder="1" applyAlignment="1">
      <alignment horizontal="center" vertical="center"/>
    </xf>
    <xf numFmtId="0" fontId="3" fillId="4" borderId="84" xfId="0" applyFont="1" applyFill="1" applyBorder="1" applyAlignment="1">
      <alignment horizontal="center" vertical="center"/>
    </xf>
    <xf numFmtId="0" fontId="3" fillId="4" borderId="83" xfId="0" applyFont="1" applyFill="1" applyBorder="1" applyAlignment="1">
      <alignment horizontal="center" vertical="center"/>
    </xf>
    <xf numFmtId="0" fontId="3" fillId="4" borderId="85" xfId="0" applyFont="1" applyFill="1" applyBorder="1" applyAlignment="1">
      <alignment horizontal="center" vertical="center"/>
    </xf>
    <xf numFmtId="2" fontId="3" fillId="4" borderId="59" xfId="0" applyNumberFormat="1" applyFont="1" applyFill="1" applyBorder="1" applyAlignment="1">
      <alignment horizontal="center" vertical="center"/>
    </xf>
    <xf numFmtId="2" fontId="3" fillId="4" borderId="58" xfId="0" applyNumberFormat="1" applyFont="1" applyFill="1" applyBorder="1" applyAlignment="1">
      <alignment horizontal="center" vertical="center"/>
    </xf>
    <xf numFmtId="2" fontId="3" fillId="4" borderId="57" xfId="0" applyNumberFormat="1" applyFont="1" applyFill="1" applyBorder="1" applyAlignment="1">
      <alignment horizontal="center" vertical="center"/>
    </xf>
    <xf numFmtId="2" fontId="3" fillId="4" borderId="62" xfId="0" applyNumberFormat="1" applyFont="1" applyFill="1" applyBorder="1" applyAlignment="1">
      <alignment horizontal="center" vertical="center"/>
    </xf>
    <xf numFmtId="2" fontId="3" fillId="4" borderId="61" xfId="0" applyNumberFormat="1" applyFont="1" applyFill="1" applyBorder="1" applyAlignment="1">
      <alignment horizontal="center" vertical="center"/>
    </xf>
    <xf numFmtId="2" fontId="3" fillId="4" borderId="63" xfId="0" applyNumberFormat="1" applyFont="1" applyFill="1" applyBorder="1" applyAlignment="1">
      <alignment horizontal="center" vertical="center"/>
    </xf>
    <xf numFmtId="1" fontId="28" fillId="4" borderId="67" xfId="0" applyNumberFormat="1" applyFont="1" applyFill="1" applyBorder="1" applyAlignment="1">
      <alignment horizontal="center" vertical="center"/>
    </xf>
    <xf numFmtId="1" fontId="28" fillId="4" borderId="66" xfId="0" applyNumberFormat="1" applyFont="1" applyFill="1" applyBorder="1" applyAlignment="1">
      <alignment horizontal="center" vertical="center"/>
    </xf>
    <xf numFmtId="1" fontId="28" fillId="4" borderId="68" xfId="0" applyNumberFormat="1" applyFont="1" applyFill="1" applyBorder="1" applyAlignment="1">
      <alignment horizontal="center" vertical="center"/>
    </xf>
    <xf numFmtId="2" fontId="3" fillId="4" borderId="73" xfId="0" applyNumberFormat="1" applyFont="1" applyFill="1" applyBorder="1" applyAlignment="1">
      <alignment horizontal="center" vertical="center"/>
    </xf>
    <xf numFmtId="2" fontId="3" fillId="4" borderId="72" xfId="0" applyNumberFormat="1" applyFont="1" applyFill="1" applyBorder="1" applyAlignment="1">
      <alignment horizontal="center" vertical="center"/>
    </xf>
    <xf numFmtId="2" fontId="3" fillId="4" borderId="74" xfId="0" applyNumberFormat="1" applyFont="1" applyFill="1" applyBorder="1" applyAlignment="1">
      <alignment horizontal="center" vertical="center"/>
    </xf>
    <xf numFmtId="1" fontId="28" fillId="4" borderId="59" xfId="0" applyNumberFormat="1" applyFont="1" applyFill="1" applyBorder="1" applyAlignment="1">
      <alignment horizontal="center" vertical="center"/>
    </xf>
    <xf numFmtId="1" fontId="28" fillId="4" borderId="58" xfId="0" applyNumberFormat="1" applyFont="1" applyFill="1" applyBorder="1" applyAlignment="1">
      <alignment horizontal="center" vertical="center"/>
    </xf>
    <xf numFmtId="1" fontId="28" fillId="4" borderId="57" xfId="0" applyNumberFormat="1" applyFont="1" applyFill="1" applyBorder="1" applyAlignment="1">
      <alignment horizontal="center" vertical="center"/>
    </xf>
    <xf numFmtId="1" fontId="3" fillId="4" borderId="67" xfId="0" applyNumberFormat="1" applyFont="1" applyFill="1" applyBorder="1" applyAlignment="1">
      <alignment horizontal="center" vertical="center"/>
    </xf>
    <xf numFmtId="1" fontId="3" fillId="4" borderId="66" xfId="0" applyNumberFormat="1" applyFont="1" applyFill="1" applyBorder="1" applyAlignment="1">
      <alignment horizontal="center" vertical="center"/>
    </xf>
    <xf numFmtId="2" fontId="3" fillId="4" borderId="67" xfId="0" applyNumberFormat="1" applyFont="1" applyFill="1" applyBorder="1" applyAlignment="1">
      <alignment horizontal="center" vertical="center"/>
    </xf>
    <xf numFmtId="2" fontId="3" fillId="4" borderId="66" xfId="0" applyNumberFormat="1" applyFont="1" applyFill="1" applyBorder="1" applyAlignment="1">
      <alignment horizontal="center" vertical="center"/>
    </xf>
    <xf numFmtId="2" fontId="3" fillId="4" borderId="68" xfId="0" applyNumberFormat="1" applyFont="1" applyFill="1" applyBorder="1" applyAlignment="1">
      <alignment horizontal="center" vertical="center"/>
    </xf>
    <xf numFmtId="2" fontId="3" fillId="4" borderId="70" xfId="0" applyNumberFormat="1" applyFont="1" applyFill="1" applyBorder="1" applyAlignment="1">
      <alignment horizontal="center" vertical="center"/>
    </xf>
    <xf numFmtId="2" fontId="3" fillId="4" borderId="69" xfId="0" applyNumberFormat="1" applyFont="1" applyFill="1" applyBorder="1" applyAlignment="1">
      <alignment horizontal="center" vertical="center"/>
    </xf>
    <xf numFmtId="2" fontId="3" fillId="4" borderId="71" xfId="0" applyNumberFormat="1" applyFont="1" applyFill="1" applyBorder="1" applyAlignment="1">
      <alignment horizontal="center" vertical="center"/>
    </xf>
    <xf numFmtId="2" fontId="3" fillId="4" borderId="1" xfId="0" applyNumberFormat="1" applyFont="1" applyFill="1" applyBorder="1" applyAlignment="1">
      <alignment horizontal="center" vertical="center"/>
    </xf>
    <xf numFmtId="2" fontId="3" fillId="4" borderId="0" xfId="0" applyNumberFormat="1" applyFont="1" applyFill="1" applyAlignment="1">
      <alignment horizontal="center" vertical="center"/>
    </xf>
    <xf numFmtId="2" fontId="3" fillId="4" borderId="2" xfId="0" applyNumberFormat="1" applyFont="1" applyFill="1" applyBorder="1" applyAlignment="1">
      <alignment horizontal="center" vertical="center"/>
    </xf>
    <xf numFmtId="1" fontId="3" fillId="4" borderId="70" xfId="0" applyNumberFormat="1" applyFont="1" applyFill="1" applyBorder="1" applyAlignment="1">
      <alignment horizontal="center" vertical="center"/>
    </xf>
    <xf numFmtId="1" fontId="3" fillId="4" borderId="69" xfId="0" applyNumberFormat="1" applyFont="1" applyFill="1" applyBorder="1" applyAlignment="1">
      <alignment horizontal="center" vertical="center"/>
    </xf>
    <xf numFmtId="1" fontId="3" fillId="4" borderId="71" xfId="0" applyNumberFormat="1" applyFont="1" applyFill="1" applyBorder="1" applyAlignment="1">
      <alignment horizontal="center" vertical="center"/>
    </xf>
    <xf numFmtId="2" fontId="28" fillId="4" borderId="67" xfId="0" applyNumberFormat="1" applyFont="1" applyFill="1" applyBorder="1" applyAlignment="1">
      <alignment horizontal="center" vertical="center"/>
    </xf>
    <xf numFmtId="2" fontId="28" fillId="4" borderId="66" xfId="0" applyNumberFormat="1" applyFont="1" applyFill="1" applyBorder="1" applyAlignment="1">
      <alignment horizontal="center" vertical="center"/>
    </xf>
    <xf numFmtId="2" fontId="28" fillId="4" borderId="68" xfId="0" applyNumberFormat="1" applyFont="1" applyFill="1" applyBorder="1" applyAlignment="1">
      <alignment horizontal="center" vertical="center"/>
    </xf>
    <xf numFmtId="2" fontId="28" fillId="4" borderId="70" xfId="0" applyNumberFormat="1" applyFont="1" applyFill="1" applyBorder="1" applyAlignment="1">
      <alignment horizontal="center" vertical="center"/>
    </xf>
    <xf numFmtId="2" fontId="28" fillId="4" borderId="69" xfId="0" applyNumberFormat="1" applyFont="1" applyFill="1" applyBorder="1" applyAlignment="1">
      <alignment horizontal="center" vertical="center"/>
    </xf>
    <xf numFmtId="2" fontId="28" fillId="4" borderId="71" xfId="0" applyNumberFormat="1" applyFont="1" applyFill="1" applyBorder="1" applyAlignment="1">
      <alignment horizontal="center" vertical="center"/>
    </xf>
    <xf numFmtId="1" fontId="3" fillId="4" borderId="62" xfId="0" applyNumberFormat="1" applyFont="1" applyFill="1" applyBorder="1" applyAlignment="1">
      <alignment horizontal="center" vertical="center"/>
    </xf>
    <xf numFmtId="1" fontId="3" fillId="4" borderId="61" xfId="0" applyNumberFormat="1" applyFont="1" applyFill="1" applyBorder="1" applyAlignment="1">
      <alignment horizontal="center" vertical="center"/>
    </xf>
    <xf numFmtId="2" fontId="3" fillId="4" borderId="56" xfId="0" applyNumberFormat="1" applyFont="1" applyFill="1" applyBorder="1" applyAlignment="1">
      <alignment horizontal="center" vertical="center"/>
    </xf>
    <xf numFmtId="2" fontId="3" fillId="4" borderId="55" xfId="0" applyNumberFormat="1" applyFont="1" applyFill="1" applyBorder="1" applyAlignment="1">
      <alignment horizontal="center" vertical="center"/>
    </xf>
    <xf numFmtId="2" fontId="3" fillId="4" borderId="54" xfId="0" applyNumberFormat="1" applyFont="1" applyFill="1" applyBorder="1" applyAlignment="1">
      <alignment horizontal="center" vertical="center"/>
    </xf>
    <xf numFmtId="2" fontId="0" fillId="4" borderId="56" xfId="0" applyNumberFormat="1" applyFill="1" applyBorder="1" applyAlignment="1">
      <alignment horizontal="center" vertical="center"/>
    </xf>
    <xf numFmtId="2" fontId="0" fillId="4" borderId="55" xfId="0" applyNumberFormat="1" applyFill="1" applyBorder="1" applyAlignment="1">
      <alignment horizontal="center" vertical="center"/>
    </xf>
    <xf numFmtId="2" fontId="0" fillId="4" borderId="54" xfId="0" applyNumberFormat="1" applyFill="1" applyBorder="1" applyAlignment="1">
      <alignment horizontal="center" vertical="center"/>
    </xf>
    <xf numFmtId="0" fontId="0" fillId="0" borderId="85" xfId="0" applyBorder="1" applyAlignment="1">
      <alignment horizontal="center" vertical="center"/>
    </xf>
    <xf numFmtId="164" fontId="0" fillId="0" borderId="56" xfId="0" applyNumberFormat="1" applyBorder="1" applyAlignment="1">
      <alignment horizontal="center" vertical="center"/>
    </xf>
    <xf numFmtId="164" fontId="0" fillId="0" borderId="55" xfId="0" applyNumberFormat="1" applyBorder="1" applyAlignment="1">
      <alignment horizontal="center" vertical="center"/>
    </xf>
    <xf numFmtId="164" fontId="0" fillId="0" borderId="54" xfId="0" applyNumberFormat="1" applyBorder="1" applyAlignment="1">
      <alignment horizontal="center" vertical="center"/>
    </xf>
    <xf numFmtId="0" fontId="0" fillId="0" borderId="56"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0" fontId="3" fillId="14" borderId="53" xfId="0" applyFont="1" applyFill="1" applyBorder="1" applyAlignment="1">
      <alignment horizontal="center" vertical="center"/>
    </xf>
    <xf numFmtId="0" fontId="0" fillId="0" borderId="177" xfId="0" applyBorder="1" applyAlignment="1">
      <alignment horizontal="center" vertical="center"/>
    </xf>
    <xf numFmtId="0" fontId="0" fillId="0" borderId="178" xfId="0" applyBorder="1" applyAlignment="1">
      <alignment horizontal="center" vertical="center"/>
    </xf>
    <xf numFmtId="0" fontId="0" fillId="0" borderId="179" xfId="0" applyBorder="1" applyAlignment="1">
      <alignment horizontal="center" vertical="center"/>
    </xf>
    <xf numFmtId="0" fontId="0" fillId="0" borderId="53" xfId="0" applyBorder="1" applyAlignment="1">
      <alignment horizontal="center" vertical="center"/>
    </xf>
    <xf numFmtId="0" fontId="0" fillId="0" borderId="180" xfId="0" applyBorder="1" applyAlignment="1">
      <alignment horizontal="center" vertical="center"/>
    </xf>
    <xf numFmtId="0" fontId="0" fillId="0" borderId="181" xfId="0" applyBorder="1" applyAlignment="1">
      <alignment horizontal="center" vertical="center"/>
    </xf>
    <xf numFmtId="0" fontId="0" fillId="12" borderId="174" xfId="0" applyFill="1" applyBorder="1" applyAlignment="1">
      <alignment horizontal="left" vertical="center"/>
    </xf>
    <xf numFmtId="0" fontId="0" fillId="12" borderId="222" xfId="0" applyFill="1" applyBorder="1" applyAlignment="1">
      <alignment horizontal="left" vertical="center"/>
    </xf>
    <xf numFmtId="0" fontId="42" fillId="16" borderId="0" xfId="0" applyFont="1" applyFill="1" applyAlignment="1">
      <alignment horizontal="left" vertical="center"/>
    </xf>
  </cellXfs>
  <cellStyles count="9">
    <cellStyle name="ecoinvent 1" xfId="8" xr:uid="{692436C5-AD0C-48D6-8AED-16C3161D1731}"/>
    <cellStyle name="Komma" xfId="2" builtinId="3"/>
    <cellStyle name="Link" xfId="5" builtinId="8"/>
    <cellStyle name="Link 2" xfId="7" xr:uid="{ACE4F610-D2BC-4440-B774-DDBD4E968FC4}"/>
    <cellStyle name="Prozent" xfId="4" builtinId="5"/>
    <cellStyle name="Standard" xfId="0" builtinId="0"/>
    <cellStyle name="Standard 2" xfId="6" xr:uid="{B1E8565E-2E92-4484-9C8A-57281B356CBC}"/>
    <cellStyle name="Standard 3" xfId="3" xr:uid="{140D9AFB-8E5C-462B-9192-211682756DC4}"/>
    <cellStyle name="Währung" xfId="1" builtinId="4"/>
  </cellStyles>
  <dxfs count="73">
    <dxf>
      <font>
        <color theme="9" tint="0.79998168889431442"/>
      </font>
    </dxf>
    <dxf>
      <font>
        <color theme="9" tint="0.79998168889431442"/>
      </font>
    </dxf>
    <dxf>
      <font>
        <color theme="9" tint="0.79998168889431442"/>
      </font>
    </dxf>
    <dxf>
      <font>
        <color theme="9" tint="0.79998168889431442"/>
      </font>
    </dxf>
    <dxf>
      <font>
        <color theme="9" tint="0.79998168889431442"/>
      </font>
    </dxf>
    <dxf>
      <font>
        <color theme="9" tint="0.79998168889431442"/>
      </font>
    </dxf>
    <dxf>
      <font>
        <color theme="9" tint="0.79998168889431442"/>
      </font>
    </dxf>
    <dxf>
      <font>
        <color theme="0" tint="-0.34998626667073579"/>
      </font>
    </dxf>
    <dxf>
      <font>
        <color theme="0" tint="-0.34998626667073579"/>
      </font>
    </dxf>
    <dxf>
      <font>
        <color theme="0"/>
      </font>
    </dxf>
    <dxf>
      <font>
        <color theme="0"/>
      </font>
    </dxf>
    <dxf>
      <font>
        <color theme="0"/>
      </font>
    </dxf>
    <dxf>
      <font>
        <color theme="0"/>
      </font>
    </dxf>
    <dxf>
      <font>
        <color theme="0"/>
      </font>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39994506668294322"/>
        </patternFill>
      </fill>
    </dxf>
    <dxf>
      <fill>
        <patternFill>
          <bgColor theme="5" tint="0.39994506668294322"/>
        </patternFill>
      </fill>
    </dxf>
    <dxf>
      <font>
        <color theme="1"/>
      </font>
      <fill>
        <patternFill>
          <bgColor theme="5" tint="0.39994506668294322"/>
        </patternFill>
      </fill>
    </dxf>
    <dxf>
      <font>
        <color theme="1"/>
      </font>
      <fill>
        <patternFill>
          <bgColor theme="7" tint="0.79998168889431442"/>
        </patternFill>
      </fill>
    </dxf>
    <dxf>
      <fill>
        <patternFill>
          <bgColor theme="5" tint="0.39994506668294322"/>
        </patternFill>
      </fill>
    </dxf>
    <dxf>
      <fill>
        <patternFill>
          <bgColor theme="5" tint="0.39994506668294322"/>
        </patternFill>
      </fill>
    </dxf>
    <dxf>
      <font>
        <color rgb="FFFF0000"/>
      </font>
      <fill>
        <patternFill>
          <bgColor theme="0"/>
        </patternFill>
      </fill>
    </dxf>
    <dxf>
      <font>
        <color theme="0"/>
      </font>
    </dxf>
    <dxf>
      <fill>
        <patternFill>
          <bgColor theme="0"/>
        </patternFill>
      </fill>
    </dxf>
    <dxf>
      <fill>
        <patternFill>
          <bgColor theme="7" tint="0.79998168889431442"/>
        </patternFill>
      </fill>
    </dxf>
    <dxf>
      <fill>
        <patternFill>
          <bgColor theme="7" tint="0.79998168889431442"/>
        </patternFill>
      </fill>
    </dxf>
    <dxf>
      <fill>
        <patternFill>
          <bgColor theme="5" tint="0.39994506668294322"/>
        </patternFill>
      </fill>
    </dxf>
    <dxf>
      <font>
        <b/>
        <i val="0"/>
        <color theme="0"/>
      </font>
      <fill>
        <patternFill>
          <bgColor rgb="FFFF0000"/>
        </patternFill>
      </fill>
    </dxf>
    <dxf>
      <font>
        <color theme="0"/>
      </font>
      <fill>
        <patternFill>
          <bgColor theme="0"/>
        </patternFill>
      </fill>
    </dxf>
    <dxf>
      <font>
        <color theme="1"/>
      </font>
      <fill>
        <patternFill>
          <bgColor theme="7" tint="0.79998168889431442"/>
        </patternFill>
      </fill>
    </dxf>
    <dxf>
      <fill>
        <patternFill>
          <bgColor theme="5" tint="0.39994506668294322"/>
        </patternFill>
      </fill>
    </dxf>
    <dxf>
      <font>
        <color rgb="FFFF0000"/>
      </font>
      <fill>
        <patternFill>
          <bgColor theme="0"/>
        </patternFill>
      </fill>
    </dxf>
    <dxf>
      <font>
        <color rgb="FFFF0000"/>
      </font>
      <fill>
        <patternFill patternType="solid">
          <bgColor theme="0"/>
        </patternFill>
      </fill>
    </dxf>
    <dxf>
      <font>
        <color rgb="FFFF0000"/>
      </font>
      <fill>
        <patternFill>
          <bgColor theme="5" tint="0.39994506668294322"/>
        </patternFill>
      </fill>
    </dxf>
    <dxf>
      <font>
        <color rgb="FFFF0000"/>
      </font>
      <fill>
        <patternFill>
          <bgColor theme="5" tint="0.39994506668294322"/>
        </patternFill>
      </fill>
    </dxf>
    <dxf>
      <font>
        <color rgb="FFFF0000"/>
      </font>
      <fill>
        <patternFill>
          <bgColor theme="5" tint="0.39994506668294322"/>
        </patternFill>
      </fill>
    </dxf>
    <dxf>
      <fill>
        <patternFill>
          <bgColor theme="7" tint="0.79998168889431442"/>
        </patternFill>
      </fill>
    </dxf>
    <dxf>
      <fill>
        <patternFill>
          <bgColor theme="5" tint="0.39994506668294322"/>
        </patternFill>
      </fill>
    </dxf>
    <dxf>
      <font>
        <color rgb="FFFF0000"/>
      </font>
    </dxf>
    <dxf>
      <fill>
        <patternFill>
          <bgColor theme="5" tint="0.39994506668294322"/>
        </patternFill>
      </fill>
    </dxf>
    <dxf>
      <fill>
        <patternFill>
          <bgColor theme="7" tint="0.79998168889431442"/>
        </patternFill>
      </fill>
    </dxf>
    <dxf>
      <font>
        <color theme="0"/>
      </font>
      <fill>
        <patternFill>
          <bgColor rgb="FFFF0000"/>
        </patternFill>
      </fill>
    </dxf>
    <dxf>
      <fill>
        <patternFill>
          <bgColor theme="5" tint="0.39994506668294322"/>
        </patternFill>
      </fill>
    </dxf>
    <dxf>
      <font>
        <color rgb="FFFF0000"/>
      </font>
    </dxf>
    <dxf>
      <font>
        <color auto="1"/>
      </font>
      <fill>
        <patternFill>
          <bgColor theme="5" tint="0.39994506668294322"/>
        </patternFill>
      </fill>
    </dxf>
    <dxf>
      <font>
        <color theme="1"/>
      </font>
      <fill>
        <patternFill>
          <bgColor theme="7" tint="0.79998168889431442"/>
        </patternFill>
      </fill>
    </dxf>
    <dxf>
      <fill>
        <patternFill>
          <bgColor theme="5" tint="0.39994506668294322"/>
        </patternFill>
      </fill>
    </dxf>
  </dxfs>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CH"/>
              <a:t>Geschwindigkeitsprofil (für Züge</a:t>
            </a:r>
            <a:r>
              <a:rPr lang="de-CH" baseline="0"/>
              <a:t> mit genügendem v</a:t>
            </a:r>
            <a:r>
              <a:rPr lang="de-CH" baseline="-25000"/>
              <a:t>max</a:t>
            </a:r>
            <a:r>
              <a:rPr lang="de-CH" baseline="0"/>
              <a:t>)</a:t>
            </a:r>
            <a:endParaRPr lang="de-CH"/>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0258266228975811"/>
          <c:y val="0.22271167357562199"/>
          <c:w val="0.87052948363148097"/>
          <c:h val="0.61237353687335039"/>
        </c:manualLayout>
      </c:layout>
      <c:scatterChart>
        <c:scatterStyle val="lineMarker"/>
        <c:varyColors val="0"/>
        <c:ser>
          <c:idx val="0"/>
          <c:order val="0"/>
          <c:tx>
            <c:v>Richtung 1</c:v>
          </c:tx>
          <c:spPr>
            <a:ln w="19050" cap="rnd">
              <a:solidFill>
                <a:srgbClr val="FFC000">
                  <a:alpha val="90000"/>
                </a:srgbClr>
              </a:solidFill>
              <a:round/>
            </a:ln>
            <a:effectLst/>
          </c:spPr>
          <c:marker>
            <c:symbol val="none"/>
          </c:marker>
          <c:xVal>
            <c:numRef>
              <c:f>Betriebsdaten!$E$10:$I$10</c:f>
              <c:numCache>
                <c:formatCode>General</c:formatCode>
                <c:ptCount val="5"/>
              </c:numCache>
            </c:numRef>
          </c:xVal>
          <c:yVal>
            <c:numRef>
              <c:f>Betriebsdaten!$E$11:$I$11</c:f>
              <c:numCache>
                <c:formatCode>General</c:formatCode>
                <c:ptCount val="5"/>
              </c:numCache>
            </c:numRef>
          </c:yVal>
          <c:smooth val="0"/>
          <c:extLst>
            <c:ext xmlns:c16="http://schemas.microsoft.com/office/drawing/2014/chart" uri="{C3380CC4-5D6E-409C-BE32-E72D297353CC}">
              <c16:uniqueId val="{00000000-783A-4DC8-81F5-094C942449FA}"/>
            </c:ext>
          </c:extLst>
        </c:ser>
        <c:ser>
          <c:idx val="1"/>
          <c:order val="1"/>
          <c:tx>
            <c:v>1: vGüterzug</c:v>
          </c:tx>
          <c:spPr>
            <a:ln w="19050" cap="rnd">
              <a:solidFill>
                <a:schemeClr val="accent5">
                  <a:alpha val="90000"/>
                </a:schemeClr>
              </a:solidFill>
              <a:round/>
            </a:ln>
            <a:effectLst/>
          </c:spPr>
          <c:marker>
            <c:symbol val="none"/>
          </c:marker>
          <c:xVal>
            <c:numRef>
              <c:f>Betriebsdaten!$E$10:$I$10</c:f>
              <c:numCache>
                <c:formatCode>General</c:formatCode>
                <c:ptCount val="5"/>
              </c:numCache>
            </c:numRef>
          </c:xVal>
          <c:yVal>
            <c:numRef>
              <c:f>Betriebsdaten!$E$12:$I$12</c:f>
              <c:numCache>
                <c:formatCode>General</c:formatCode>
                <c:ptCount val="5"/>
              </c:numCache>
            </c:numRef>
          </c:yVal>
          <c:smooth val="0"/>
          <c:extLst>
            <c:ext xmlns:c16="http://schemas.microsoft.com/office/drawing/2014/chart" uri="{C3380CC4-5D6E-409C-BE32-E72D297353CC}">
              <c16:uniqueId val="{00000001-783A-4DC8-81F5-094C942449FA}"/>
            </c:ext>
          </c:extLst>
        </c:ser>
        <c:ser>
          <c:idx val="2"/>
          <c:order val="2"/>
          <c:tx>
            <c:v>Richtung 2</c:v>
          </c:tx>
          <c:spPr>
            <a:ln w="19050" cap="rnd">
              <a:solidFill>
                <a:srgbClr val="C00000">
                  <a:alpha val="90000"/>
                </a:srgbClr>
              </a:solidFill>
              <a:prstDash val="dash"/>
              <a:round/>
            </a:ln>
            <a:effectLst/>
          </c:spPr>
          <c:marker>
            <c:symbol val="none"/>
          </c:marker>
          <c:xVal>
            <c:numRef>
              <c:f>Betriebsdaten!$E$13:$I$13</c:f>
              <c:numCache>
                <c:formatCode>General</c:formatCode>
                <c:ptCount val="5"/>
              </c:numCache>
            </c:numRef>
          </c:xVal>
          <c:yVal>
            <c:numRef>
              <c:f>Betriebsdaten!$E$14:$I$14</c:f>
              <c:numCache>
                <c:formatCode>General</c:formatCode>
                <c:ptCount val="5"/>
              </c:numCache>
            </c:numRef>
          </c:yVal>
          <c:smooth val="0"/>
          <c:extLst>
            <c:ext xmlns:c16="http://schemas.microsoft.com/office/drawing/2014/chart" uri="{C3380CC4-5D6E-409C-BE32-E72D297353CC}">
              <c16:uniqueId val="{00000002-783A-4DC8-81F5-094C942449FA}"/>
            </c:ext>
          </c:extLst>
        </c:ser>
        <c:ser>
          <c:idx val="3"/>
          <c:order val="3"/>
          <c:tx>
            <c:v>2: vGüterzug</c:v>
          </c:tx>
          <c:spPr>
            <a:ln w="19050" cap="rnd">
              <a:solidFill>
                <a:srgbClr val="002060">
                  <a:alpha val="90000"/>
                </a:srgbClr>
              </a:solidFill>
              <a:prstDash val="dash"/>
              <a:round/>
            </a:ln>
            <a:effectLst/>
          </c:spPr>
          <c:marker>
            <c:symbol val="none"/>
          </c:marker>
          <c:xVal>
            <c:numRef>
              <c:f>Betriebsdaten!$E$13:$I$13</c:f>
              <c:numCache>
                <c:formatCode>General</c:formatCode>
                <c:ptCount val="5"/>
              </c:numCache>
            </c:numRef>
          </c:xVal>
          <c:yVal>
            <c:numRef>
              <c:f>Betriebsdaten!$E$15:$I$15</c:f>
              <c:numCache>
                <c:formatCode>General</c:formatCode>
                <c:ptCount val="5"/>
              </c:numCache>
            </c:numRef>
          </c:yVal>
          <c:smooth val="0"/>
          <c:extLst>
            <c:ext xmlns:c16="http://schemas.microsoft.com/office/drawing/2014/chart" uri="{C3380CC4-5D6E-409C-BE32-E72D297353CC}">
              <c16:uniqueId val="{00000003-783A-4DC8-81F5-094C942449FA}"/>
            </c:ext>
          </c:extLst>
        </c:ser>
        <c:dLbls>
          <c:showLegendKey val="0"/>
          <c:showVal val="0"/>
          <c:showCatName val="0"/>
          <c:showSerName val="0"/>
          <c:showPercent val="0"/>
          <c:showBubbleSize val="0"/>
        </c:dLbls>
        <c:axId val="974336840"/>
        <c:axId val="974340120"/>
      </c:scatterChart>
      <c:valAx>
        <c:axId val="9743368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a:t>Tunnel-km</a:t>
                </a:r>
                <a:r>
                  <a:rPr lang="de-CH" baseline="0"/>
                  <a:t> / Distanz ab Portal</a:t>
                </a:r>
                <a:r>
                  <a:rPr lang="de-CH"/>
                  <a:t> [km]</a:t>
                </a:r>
              </a:p>
            </c:rich>
          </c:tx>
          <c:layout>
            <c:manualLayout>
              <c:xMode val="edge"/>
              <c:yMode val="edge"/>
              <c:x val="0.38934563068272549"/>
              <c:y val="0.9076393691936390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74340120"/>
        <c:crosses val="autoZero"/>
        <c:crossBetween val="midCat"/>
      </c:valAx>
      <c:valAx>
        <c:axId val="974340120"/>
        <c:scaling>
          <c:orientation val="minMax"/>
          <c:min val="6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a:t>Geschwindigkeit [km/h]</a:t>
                </a:r>
              </a:p>
            </c:rich>
          </c:tx>
          <c:layout>
            <c:manualLayout>
              <c:xMode val="edge"/>
              <c:yMode val="edge"/>
              <c:x val="1.7550712171704588E-2"/>
              <c:y val="0.3545240570834428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74336840"/>
        <c:crosses val="autoZero"/>
        <c:crossBetween val="midCat"/>
      </c:valAx>
      <c:spPr>
        <a:noFill/>
        <a:ln>
          <a:noFill/>
        </a:ln>
        <a:effectLst/>
      </c:spPr>
    </c:plotArea>
    <c:legend>
      <c:legendPos val="t"/>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Ergebnisse!$T$9</c:f>
              <c:strCache>
                <c:ptCount val="1"/>
                <c:pt idx="0">
                  <c:v>Baustoffe</c:v>
                </c:pt>
              </c:strCache>
            </c:strRef>
          </c:tx>
          <c:spPr>
            <a:solidFill>
              <a:schemeClr val="accent1"/>
            </a:solidFill>
            <a:ln>
              <a:noFill/>
            </a:ln>
            <a:effectLst/>
          </c:spPr>
          <c:invertIfNegative val="0"/>
          <c:cat>
            <c:strLit>
              <c:ptCount val="3"/>
              <c:pt idx="0">
                <c:v>12.0 m</c:v>
              </c:pt>
              <c:pt idx="1">
                <c:v>13.0 m</c:v>
              </c:pt>
              <c:pt idx="2">
                <c:v>14.0 m</c:v>
              </c:pt>
            </c:strLit>
          </c:cat>
          <c:val>
            <c:numRef>
              <c:f>(Ergebnisse!$U$9,Ergebnisse!$V$9,Ergebnisse!$W$9)</c:f>
              <c:numCache>
                <c:formatCode>0.00E+00</c:formatCode>
                <c:ptCount val="3"/>
                <c:pt idx="0">
                  <c:v>22732.813512290348</c:v>
                </c:pt>
                <c:pt idx="1">
                  <c:v>24481.491474774219</c:v>
                </c:pt>
                <c:pt idx="2">
                  <c:v>26230.16943725809</c:v>
                </c:pt>
              </c:numCache>
            </c:numRef>
          </c:val>
          <c:extLst>
            <c:ext xmlns:c16="http://schemas.microsoft.com/office/drawing/2014/chart" uri="{C3380CC4-5D6E-409C-BE32-E72D297353CC}">
              <c16:uniqueId val="{00000000-ADE4-44A1-9802-2471EA3B55CC}"/>
            </c:ext>
          </c:extLst>
        </c:ser>
        <c:ser>
          <c:idx val="1"/>
          <c:order val="1"/>
          <c:tx>
            <c:strRef>
              <c:f>Ergebnisse!$T$10</c:f>
              <c:strCache>
                <c:ptCount val="1"/>
                <c:pt idx="0">
                  <c:v>Transport</c:v>
                </c:pt>
              </c:strCache>
            </c:strRef>
          </c:tx>
          <c:spPr>
            <a:solidFill>
              <a:schemeClr val="accent2"/>
            </a:solidFill>
            <a:ln>
              <a:noFill/>
            </a:ln>
            <a:effectLst/>
          </c:spPr>
          <c:invertIfNegative val="0"/>
          <c:cat>
            <c:strLit>
              <c:ptCount val="3"/>
              <c:pt idx="0">
                <c:v>12.0 m</c:v>
              </c:pt>
              <c:pt idx="1">
                <c:v>13.0 m</c:v>
              </c:pt>
              <c:pt idx="2">
                <c:v>14.0 m</c:v>
              </c:pt>
            </c:strLit>
          </c:cat>
          <c:val>
            <c:numRef>
              <c:f>(Ergebnisse!$U$10,Ergebnisse!$V$10,Ergebnisse!$W$10)</c:f>
              <c:numCache>
                <c:formatCode>0.00E+00</c:formatCode>
                <c:ptCount val="3"/>
                <c:pt idx="0">
                  <c:v>1559.7747179594189</c:v>
                </c:pt>
                <c:pt idx="1">
                  <c:v>1795.1845292128162</c:v>
                </c:pt>
                <c:pt idx="2">
                  <c:v>2047.083931986376</c:v>
                </c:pt>
              </c:numCache>
            </c:numRef>
          </c:val>
          <c:extLst>
            <c:ext xmlns:c16="http://schemas.microsoft.com/office/drawing/2014/chart" uri="{C3380CC4-5D6E-409C-BE32-E72D297353CC}">
              <c16:uniqueId val="{00000001-ADE4-44A1-9802-2471EA3B55CC}"/>
            </c:ext>
          </c:extLst>
        </c:ser>
        <c:ser>
          <c:idx val="2"/>
          <c:order val="2"/>
          <c:tx>
            <c:strRef>
              <c:f>Ergebnisse!$T$11</c:f>
              <c:strCache>
                <c:ptCount val="1"/>
                <c:pt idx="0">
                  <c:v>Bauprozesse</c:v>
                </c:pt>
              </c:strCache>
            </c:strRef>
          </c:tx>
          <c:spPr>
            <a:solidFill>
              <a:schemeClr val="accent3"/>
            </a:solidFill>
            <a:ln>
              <a:noFill/>
            </a:ln>
            <a:effectLst/>
          </c:spPr>
          <c:invertIfNegative val="0"/>
          <c:cat>
            <c:strLit>
              <c:ptCount val="3"/>
              <c:pt idx="0">
                <c:v>12.0 m</c:v>
              </c:pt>
              <c:pt idx="1">
                <c:v>13.0 m</c:v>
              </c:pt>
              <c:pt idx="2">
                <c:v>14.0 m</c:v>
              </c:pt>
            </c:strLit>
          </c:cat>
          <c:val>
            <c:numRef>
              <c:f>(Ergebnisse!$U$11,Ergebnisse!$V$11,Ergebnisse!$W$11)</c:f>
              <c:numCache>
                <c:formatCode>0.00E+00</c:formatCode>
                <c:ptCount val="3"/>
                <c:pt idx="0">
                  <c:v>886.33313712757342</c:v>
                </c:pt>
                <c:pt idx="1">
                  <c:v>1027.936656076949</c:v>
                </c:pt>
                <c:pt idx="2">
                  <c:v>1180.0293245781304</c:v>
                </c:pt>
              </c:numCache>
            </c:numRef>
          </c:val>
          <c:extLst>
            <c:ext xmlns:c16="http://schemas.microsoft.com/office/drawing/2014/chart" uri="{C3380CC4-5D6E-409C-BE32-E72D297353CC}">
              <c16:uniqueId val="{00000002-ADE4-44A1-9802-2471EA3B55CC}"/>
            </c:ext>
          </c:extLst>
        </c:ser>
        <c:ser>
          <c:idx val="3"/>
          <c:order val="3"/>
          <c:tx>
            <c:strRef>
              <c:f>Ergebnisse!$T$12</c:f>
              <c:strCache>
                <c:ptCount val="1"/>
                <c:pt idx="0">
                  <c:v>Traktion</c:v>
                </c:pt>
              </c:strCache>
            </c:strRef>
          </c:tx>
          <c:spPr>
            <a:solidFill>
              <a:schemeClr val="accent4"/>
            </a:solidFill>
            <a:ln>
              <a:noFill/>
            </a:ln>
            <a:effectLst/>
          </c:spPr>
          <c:invertIfNegative val="0"/>
          <c:cat>
            <c:strLit>
              <c:ptCount val="3"/>
              <c:pt idx="0">
                <c:v>12.0 m</c:v>
              </c:pt>
              <c:pt idx="1">
                <c:v>13.0 m</c:v>
              </c:pt>
              <c:pt idx="2">
                <c:v>14.0 m</c:v>
              </c:pt>
            </c:strLit>
          </c:cat>
          <c:val>
            <c:numRef>
              <c:f>(Ergebnisse!$U$12,Ergebnisse!$V$12,Ergebnisse!$W$12)</c:f>
              <c:numCache>
                <c:formatCode>0.00E+00</c:formatCode>
                <c:ptCount val="3"/>
                <c:pt idx="0">
                  <c:v>6351.6984755010453</c:v>
                </c:pt>
                <c:pt idx="1">
                  <c:v>6076.6909838467927</c:v>
                </c:pt>
                <c:pt idx="2">
                  <c:v>5903.1962312476626</c:v>
                </c:pt>
              </c:numCache>
            </c:numRef>
          </c:val>
          <c:extLst>
            <c:ext xmlns:c16="http://schemas.microsoft.com/office/drawing/2014/chart" uri="{C3380CC4-5D6E-409C-BE32-E72D297353CC}">
              <c16:uniqueId val="{00000003-ADE4-44A1-9802-2471EA3B55CC}"/>
            </c:ext>
          </c:extLst>
        </c:ser>
        <c:dLbls>
          <c:showLegendKey val="0"/>
          <c:showVal val="0"/>
          <c:showCatName val="0"/>
          <c:showSerName val="0"/>
          <c:showPercent val="0"/>
          <c:showBubbleSize val="0"/>
        </c:dLbls>
        <c:gapWidth val="150"/>
        <c:overlap val="100"/>
        <c:axId val="1241884008"/>
        <c:axId val="1241890896"/>
      </c:barChart>
      <c:catAx>
        <c:axId val="12418840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a:t>Innendurchmesser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41890896"/>
        <c:crosses val="autoZero"/>
        <c:auto val="1"/>
        <c:lblAlgn val="ctr"/>
        <c:lblOffset val="100"/>
        <c:noMultiLvlLbl val="0"/>
      </c:catAx>
      <c:valAx>
        <c:axId val="1241890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de-CH" sz="1050" b="0" i="0" baseline="0">
                    <a:effectLst/>
                  </a:rPr>
                  <a:t>t CO</a:t>
                </a:r>
                <a:r>
                  <a:rPr lang="de-CH" sz="1050" b="0" i="0" baseline="-25000">
                    <a:effectLst/>
                  </a:rPr>
                  <a:t>2</a:t>
                </a:r>
                <a:r>
                  <a:rPr lang="de-CH" sz="1050" b="0" i="0" baseline="0">
                    <a:effectLst/>
                  </a:rPr>
                  <a:t> eq</a:t>
                </a:r>
                <a:endParaRPr lang="de-CH" sz="500">
                  <a:effectLst/>
                </a:endParaRPr>
              </a:p>
            </c:rich>
          </c:tx>
          <c:layout>
            <c:manualLayout>
              <c:xMode val="edge"/>
              <c:yMode val="edge"/>
              <c:x val="2.5000000000000001E-2"/>
              <c:y val="0.32752697579469231"/>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de-DE"/>
            </a:p>
          </c:txPr>
        </c:title>
        <c:numFmt formatCode="0.00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418840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Baukosten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strRef>
              <c:f>Ergebnisvergleich!$A$9</c:f>
              <c:strCache>
                <c:ptCount val="1"/>
                <c:pt idx="0">
                  <c:v>Vortrieb</c:v>
                </c:pt>
              </c:strCache>
            </c:strRef>
          </c:tx>
          <c:spPr>
            <a:solidFill>
              <a:schemeClr val="accent1"/>
            </a:solidFill>
            <a:ln>
              <a:noFill/>
            </a:ln>
            <a:effectLst/>
          </c:spPr>
          <c:invertIfNegative val="0"/>
          <c:cat>
            <c:numRef>
              <c:f>Ergebnisvergleich!$C$4:$G$4</c:f>
              <c:numCache>
                <c:formatCode>_ * #,##0_ ;_ * \-#,##0_ ;_ * "-"??_ ;_ @_ </c:formatCode>
                <c:ptCount val="5"/>
              </c:numCache>
            </c:numRef>
          </c:cat>
          <c:val>
            <c:numRef>
              <c:f>Ergebnisvergleich!$C$9:$G$9</c:f>
              <c:numCache>
                <c:formatCode>_ * #,##0_ ;_ * \-#,##0_ ;_ * "-"??_ ;_ @_ </c:formatCode>
                <c:ptCount val="5"/>
              </c:numCache>
            </c:numRef>
          </c:val>
          <c:extLst>
            <c:ext xmlns:c16="http://schemas.microsoft.com/office/drawing/2014/chart" uri="{C3380CC4-5D6E-409C-BE32-E72D297353CC}">
              <c16:uniqueId val="{00000000-14B5-4151-AF47-1871ACF4E326}"/>
            </c:ext>
          </c:extLst>
        </c:ser>
        <c:ser>
          <c:idx val="1"/>
          <c:order val="1"/>
          <c:tx>
            <c:strRef>
              <c:f>Ergebnisvergleich!$A$10</c:f>
              <c:strCache>
                <c:ptCount val="1"/>
                <c:pt idx="0">
                  <c:v>Ausbruchsicherung</c:v>
                </c:pt>
              </c:strCache>
            </c:strRef>
          </c:tx>
          <c:spPr>
            <a:solidFill>
              <a:schemeClr val="accent2"/>
            </a:solidFill>
            <a:ln>
              <a:noFill/>
            </a:ln>
            <a:effectLst/>
          </c:spPr>
          <c:invertIfNegative val="0"/>
          <c:cat>
            <c:numRef>
              <c:f>Ergebnisvergleich!$C$4:$G$4</c:f>
              <c:numCache>
                <c:formatCode>_ * #,##0_ ;_ * \-#,##0_ ;_ * "-"??_ ;_ @_ </c:formatCode>
                <c:ptCount val="5"/>
              </c:numCache>
            </c:numRef>
          </c:cat>
          <c:val>
            <c:numRef>
              <c:f>Ergebnisvergleich!$C$10:$G$10</c:f>
              <c:numCache>
                <c:formatCode>_ * #,##0_ ;_ * \-#,##0_ ;_ * "-"??_ ;_ @_ </c:formatCode>
                <c:ptCount val="5"/>
              </c:numCache>
            </c:numRef>
          </c:val>
          <c:extLst>
            <c:ext xmlns:c16="http://schemas.microsoft.com/office/drawing/2014/chart" uri="{C3380CC4-5D6E-409C-BE32-E72D297353CC}">
              <c16:uniqueId val="{00000001-14B5-4151-AF47-1871ACF4E326}"/>
            </c:ext>
          </c:extLst>
        </c:ser>
        <c:ser>
          <c:idx val="2"/>
          <c:order val="2"/>
          <c:tx>
            <c:strRef>
              <c:f>Ergebnisvergleich!$A$11</c:f>
              <c:strCache>
                <c:ptCount val="1"/>
                <c:pt idx="0">
                  <c:v>Abdichtung</c:v>
                </c:pt>
              </c:strCache>
            </c:strRef>
          </c:tx>
          <c:spPr>
            <a:solidFill>
              <a:schemeClr val="accent3"/>
            </a:solidFill>
            <a:ln>
              <a:noFill/>
            </a:ln>
            <a:effectLst/>
          </c:spPr>
          <c:invertIfNegative val="0"/>
          <c:cat>
            <c:numRef>
              <c:f>Ergebnisvergleich!$C$4:$G$4</c:f>
              <c:numCache>
                <c:formatCode>_ * #,##0_ ;_ * \-#,##0_ ;_ * "-"??_ ;_ @_ </c:formatCode>
                <c:ptCount val="5"/>
              </c:numCache>
            </c:numRef>
          </c:cat>
          <c:val>
            <c:numRef>
              <c:f>Ergebnisvergleich!$C$11:$G$11</c:f>
              <c:numCache>
                <c:formatCode>_ * #,##0_ ;_ * \-#,##0_ ;_ * "-"??_ ;_ @_ </c:formatCode>
                <c:ptCount val="5"/>
              </c:numCache>
            </c:numRef>
          </c:val>
          <c:extLst>
            <c:ext xmlns:c16="http://schemas.microsoft.com/office/drawing/2014/chart" uri="{C3380CC4-5D6E-409C-BE32-E72D297353CC}">
              <c16:uniqueId val="{00000002-14B5-4151-AF47-1871ACF4E326}"/>
            </c:ext>
          </c:extLst>
        </c:ser>
        <c:ser>
          <c:idx val="3"/>
          <c:order val="3"/>
          <c:tx>
            <c:strRef>
              <c:f>Ergebnisvergleich!$A$12</c:f>
              <c:strCache>
                <c:ptCount val="1"/>
                <c:pt idx="0">
                  <c:v>Erstellen Innengewölbe</c:v>
                </c:pt>
              </c:strCache>
            </c:strRef>
          </c:tx>
          <c:spPr>
            <a:solidFill>
              <a:schemeClr val="accent4"/>
            </a:solidFill>
            <a:ln>
              <a:noFill/>
            </a:ln>
            <a:effectLst/>
          </c:spPr>
          <c:invertIfNegative val="0"/>
          <c:cat>
            <c:numRef>
              <c:f>Ergebnisvergleich!$C$4:$G$4</c:f>
              <c:numCache>
                <c:formatCode>_ * #,##0_ ;_ * \-#,##0_ ;_ * "-"??_ ;_ @_ </c:formatCode>
                <c:ptCount val="5"/>
              </c:numCache>
            </c:numRef>
          </c:cat>
          <c:val>
            <c:numRef>
              <c:f>Ergebnisvergleich!$C$12:$G$12</c:f>
              <c:numCache>
                <c:formatCode>_ * #,##0_ ;_ * \-#,##0_ ;_ * "-"??_ ;_ @_ </c:formatCode>
                <c:ptCount val="5"/>
              </c:numCache>
            </c:numRef>
          </c:val>
          <c:extLst>
            <c:ext xmlns:c16="http://schemas.microsoft.com/office/drawing/2014/chart" uri="{C3380CC4-5D6E-409C-BE32-E72D297353CC}">
              <c16:uniqueId val="{00000003-14B5-4151-AF47-1871ACF4E326}"/>
            </c:ext>
          </c:extLst>
        </c:ser>
        <c:ser>
          <c:idx val="4"/>
          <c:order val="4"/>
          <c:tx>
            <c:strRef>
              <c:f>Ergebnisvergleich!$A$13</c:f>
              <c:strCache>
                <c:ptCount val="1"/>
                <c:pt idx="0">
                  <c:v>Materialbewirtschaftung</c:v>
                </c:pt>
              </c:strCache>
            </c:strRef>
          </c:tx>
          <c:spPr>
            <a:solidFill>
              <a:srgbClr val="00B050"/>
            </a:solidFill>
            <a:ln>
              <a:noFill/>
            </a:ln>
            <a:effectLst/>
          </c:spPr>
          <c:invertIfNegative val="0"/>
          <c:cat>
            <c:numRef>
              <c:f>Ergebnisvergleich!$C$4:$G$4</c:f>
              <c:numCache>
                <c:formatCode>_ * #,##0_ ;_ * \-#,##0_ ;_ * "-"??_ ;_ @_ </c:formatCode>
                <c:ptCount val="5"/>
              </c:numCache>
            </c:numRef>
          </c:cat>
          <c:val>
            <c:numRef>
              <c:f>Ergebnisvergleich!$C$13:$G$13</c:f>
              <c:numCache>
                <c:formatCode>_ * #,##0_ ;_ * \-#,##0_ ;_ * "-"??_ ;_ @_ </c:formatCode>
                <c:ptCount val="5"/>
              </c:numCache>
            </c:numRef>
          </c:val>
          <c:extLst>
            <c:ext xmlns:c16="http://schemas.microsoft.com/office/drawing/2014/chart" uri="{C3380CC4-5D6E-409C-BE32-E72D297353CC}">
              <c16:uniqueId val="{00000004-14B5-4151-AF47-1871ACF4E326}"/>
            </c:ext>
          </c:extLst>
        </c:ser>
        <c:dLbls>
          <c:showLegendKey val="0"/>
          <c:showVal val="0"/>
          <c:showCatName val="0"/>
          <c:showSerName val="0"/>
          <c:showPercent val="0"/>
          <c:showBubbleSize val="0"/>
        </c:dLbls>
        <c:gapWidth val="150"/>
        <c:overlap val="100"/>
        <c:axId val="1637284192"/>
        <c:axId val="1637285176"/>
      </c:barChart>
      <c:catAx>
        <c:axId val="16372841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Innendurchmesser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_(* #,##0_);_(* \(#,##0\);_(* &quot;-&quot;_);_(@_)"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637285176"/>
        <c:crosses val="autoZero"/>
        <c:auto val="1"/>
        <c:lblAlgn val="ctr"/>
        <c:lblOffset val="100"/>
        <c:noMultiLvlLbl val="0"/>
      </c:catAx>
      <c:valAx>
        <c:axId val="16372851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Baukosten [Mio. 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637284192"/>
        <c:crosses val="autoZero"/>
        <c:crossBetween val="between"/>
      </c:valAx>
      <c:spPr>
        <a:noFill/>
        <a:ln>
          <a:noFill/>
        </a:ln>
        <a:effectLst/>
      </c:spPr>
    </c:plotArea>
    <c:legend>
      <c:legendPos val="b"/>
      <c:layout>
        <c:manualLayout>
          <c:xMode val="edge"/>
          <c:yMode val="edge"/>
          <c:x val="8.2326990376202974E-2"/>
          <c:y val="0.82911241830065363"/>
          <c:w val="0.86867935258092732"/>
          <c:h val="0.1455117647058823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Energieverbrauch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strRef>
              <c:f>Ergebnisvergleich!$A$18</c:f>
              <c:strCache>
                <c:ptCount val="1"/>
                <c:pt idx="0">
                  <c:v>Herstellung Baustoffe</c:v>
                </c:pt>
              </c:strCache>
            </c:strRef>
          </c:tx>
          <c:spPr>
            <a:solidFill>
              <a:schemeClr val="accent1"/>
            </a:solidFill>
            <a:ln>
              <a:noFill/>
            </a:ln>
            <a:effectLst/>
          </c:spPr>
          <c:invertIfNegative val="0"/>
          <c:cat>
            <c:numRef>
              <c:f>Ergebnisvergleich!$C$4:$G$4</c:f>
              <c:numCache>
                <c:formatCode>_ * #,##0_ ;_ * \-#,##0_ ;_ * "-"??_ ;_ @_ </c:formatCode>
                <c:ptCount val="5"/>
              </c:numCache>
            </c:numRef>
          </c:cat>
          <c:val>
            <c:numRef>
              <c:f>Ergebnisvergleich!$C$18:$G$18</c:f>
              <c:numCache>
                <c:formatCode>_ * #,##0_ ;_ * \-#,##0_ ;_ * "-"??_ ;_ @_ </c:formatCode>
                <c:ptCount val="5"/>
              </c:numCache>
            </c:numRef>
          </c:val>
          <c:extLst>
            <c:ext xmlns:c16="http://schemas.microsoft.com/office/drawing/2014/chart" uri="{C3380CC4-5D6E-409C-BE32-E72D297353CC}">
              <c16:uniqueId val="{00000000-748C-47BF-9633-EE54CB90B3B8}"/>
            </c:ext>
          </c:extLst>
        </c:ser>
        <c:ser>
          <c:idx val="1"/>
          <c:order val="1"/>
          <c:tx>
            <c:strRef>
              <c:f>Ergebnisvergleich!$A$19</c:f>
              <c:strCache>
                <c:ptCount val="1"/>
                <c:pt idx="0">
                  <c:v>Bauprozesse</c:v>
                </c:pt>
              </c:strCache>
            </c:strRef>
          </c:tx>
          <c:spPr>
            <a:solidFill>
              <a:schemeClr val="accent2"/>
            </a:solidFill>
            <a:ln>
              <a:noFill/>
            </a:ln>
            <a:effectLst/>
          </c:spPr>
          <c:invertIfNegative val="0"/>
          <c:cat>
            <c:numRef>
              <c:f>Ergebnisvergleich!$C$4:$G$4</c:f>
              <c:numCache>
                <c:formatCode>_ * #,##0_ ;_ * \-#,##0_ ;_ * "-"??_ ;_ @_ </c:formatCode>
                <c:ptCount val="5"/>
              </c:numCache>
            </c:numRef>
          </c:cat>
          <c:val>
            <c:numRef>
              <c:f>Ergebnisvergleich!$C$19:$G$19</c:f>
              <c:numCache>
                <c:formatCode>_ * #,##0_ ;_ * \-#,##0_ ;_ * "-"??_ ;_ @_ </c:formatCode>
                <c:ptCount val="5"/>
              </c:numCache>
            </c:numRef>
          </c:val>
          <c:extLst>
            <c:ext xmlns:c16="http://schemas.microsoft.com/office/drawing/2014/chart" uri="{C3380CC4-5D6E-409C-BE32-E72D297353CC}">
              <c16:uniqueId val="{00000001-748C-47BF-9633-EE54CB90B3B8}"/>
            </c:ext>
          </c:extLst>
        </c:ser>
        <c:ser>
          <c:idx val="2"/>
          <c:order val="2"/>
          <c:tx>
            <c:strRef>
              <c:f>Ergebnisvergleich!$A$20</c:f>
              <c:strCache>
                <c:ptCount val="1"/>
                <c:pt idx="0">
                  <c:v>Transporte für Bau</c:v>
                </c:pt>
              </c:strCache>
            </c:strRef>
          </c:tx>
          <c:spPr>
            <a:solidFill>
              <a:schemeClr val="accent3"/>
            </a:solidFill>
            <a:ln>
              <a:noFill/>
            </a:ln>
            <a:effectLst/>
          </c:spPr>
          <c:invertIfNegative val="0"/>
          <c:cat>
            <c:numRef>
              <c:f>Ergebnisvergleich!$C$4:$G$4</c:f>
              <c:numCache>
                <c:formatCode>_ * #,##0_ ;_ * \-#,##0_ ;_ * "-"??_ ;_ @_ </c:formatCode>
                <c:ptCount val="5"/>
              </c:numCache>
            </c:numRef>
          </c:cat>
          <c:val>
            <c:numRef>
              <c:f>Ergebnisvergleich!$C$20:$G$20</c:f>
              <c:numCache>
                <c:formatCode>_ * #,##0_ ;_ * \-#,##0_ ;_ * "-"??_ ;_ @_ </c:formatCode>
                <c:ptCount val="5"/>
              </c:numCache>
            </c:numRef>
          </c:val>
          <c:extLst>
            <c:ext xmlns:c16="http://schemas.microsoft.com/office/drawing/2014/chart" uri="{C3380CC4-5D6E-409C-BE32-E72D297353CC}">
              <c16:uniqueId val="{00000002-748C-47BF-9633-EE54CB90B3B8}"/>
            </c:ext>
          </c:extLst>
        </c:ser>
        <c:ser>
          <c:idx val="3"/>
          <c:order val="3"/>
          <c:tx>
            <c:strRef>
              <c:f>Ergebnisvergleich!$A$21</c:f>
              <c:strCache>
                <c:ptCount val="1"/>
                <c:pt idx="0">
                  <c:v>Traktion während Betriebsdauer</c:v>
                </c:pt>
              </c:strCache>
            </c:strRef>
          </c:tx>
          <c:spPr>
            <a:solidFill>
              <a:schemeClr val="accent4"/>
            </a:solidFill>
            <a:ln>
              <a:noFill/>
            </a:ln>
            <a:effectLst/>
          </c:spPr>
          <c:invertIfNegative val="0"/>
          <c:cat>
            <c:numRef>
              <c:f>Ergebnisvergleich!$C$4:$G$4</c:f>
              <c:numCache>
                <c:formatCode>_ * #,##0_ ;_ * \-#,##0_ ;_ * "-"??_ ;_ @_ </c:formatCode>
                <c:ptCount val="5"/>
              </c:numCache>
            </c:numRef>
          </c:cat>
          <c:val>
            <c:numRef>
              <c:f>Ergebnisvergleich!$C$21:$G$21</c:f>
              <c:numCache>
                <c:formatCode>_ * #,##0_ ;_ * \-#,##0_ ;_ * "-"??_ ;_ @_ </c:formatCode>
                <c:ptCount val="5"/>
              </c:numCache>
            </c:numRef>
          </c:val>
          <c:extLst>
            <c:ext xmlns:c16="http://schemas.microsoft.com/office/drawing/2014/chart" uri="{C3380CC4-5D6E-409C-BE32-E72D297353CC}">
              <c16:uniqueId val="{00000003-748C-47BF-9633-EE54CB90B3B8}"/>
            </c:ext>
          </c:extLst>
        </c:ser>
        <c:dLbls>
          <c:showLegendKey val="0"/>
          <c:showVal val="0"/>
          <c:showCatName val="0"/>
          <c:showSerName val="0"/>
          <c:showPercent val="0"/>
          <c:showBubbleSize val="0"/>
        </c:dLbls>
        <c:gapWidth val="150"/>
        <c:overlap val="100"/>
        <c:axId val="236636536"/>
        <c:axId val="236636864"/>
      </c:barChart>
      <c:catAx>
        <c:axId val="2366365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Innendurchmesser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_(* #,##0_);_(* \(#,##0\);_(* &quot;-&quot;_);_(@_)"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236636864"/>
        <c:crosses val="autoZero"/>
        <c:auto val="1"/>
        <c:lblAlgn val="ctr"/>
        <c:lblOffset val="100"/>
        <c:noMultiLvlLbl val="0"/>
      </c:catAx>
      <c:valAx>
        <c:axId val="236636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Energieverbrauch [GWh]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236636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Treibhausgasemissionen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strRef>
              <c:f>Ergebnisvergleich!$A$26</c:f>
              <c:strCache>
                <c:ptCount val="1"/>
                <c:pt idx="0">
                  <c:v>Herstellung Baustoffe</c:v>
                </c:pt>
              </c:strCache>
            </c:strRef>
          </c:tx>
          <c:spPr>
            <a:solidFill>
              <a:schemeClr val="accent1"/>
            </a:solidFill>
            <a:ln>
              <a:noFill/>
            </a:ln>
            <a:effectLst/>
          </c:spPr>
          <c:invertIfNegative val="0"/>
          <c:cat>
            <c:numRef>
              <c:f>Ergebnisvergleich!$C$4:$G$4</c:f>
              <c:numCache>
                <c:formatCode>_ * #,##0_ ;_ * \-#,##0_ ;_ * "-"??_ ;_ @_ </c:formatCode>
                <c:ptCount val="5"/>
              </c:numCache>
            </c:numRef>
          </c:cat>
          <c:val>
            <c:numRef>
              <c:f>Ergebnisvergleich!$C$26:$G$26</c:f>
              <c:numCache>
                <c:formatCode>_ * #,##0_ ;_ * \-#,##0_ ;_ * "-"??_ ;_ @_ </c:formatCode>
                <c:ptCount val="5"/>
              </c:numCache>
            </c:numRef>
          </c:val>
          <c:extLst>
            <c:ext xmlns:c16="http://schemas.microsoft.com/office/drawing/2014/chart" uri="{C3380CC4-5D6E-409C-BE32-E72D297353CC}">
              <c16:uniqueId val="{00000000-4E7F-4BB1-BA5B-CB08728E5398}"/>
            </c:ext>
          </c:extLst>
        </c:ser>
        <c:ser>
          <c:idx val="1"/>
          <c:order val="1"/>
          <c:tx>
            <c:strRef>
              <c:f>Ergebnisvergleich!$A$27</c:f>
              <c:strCache>
                <c:ptCount val="1"/>
                <c:pt idx="0">
                  <c:v>Bauprozesse (inkl. Ausbruch)</c:v>
                </c:pt>
              </c:strCache>
            </c:strRef>
          </c:tx>
          <c:spPr>
            <a:solidFill>
              <a:schemeClr val="accent2"/>
            </a:solidFill>
            <a:ln>
              <a:noFill/>
            </a:ln>
            <a:effectLst/>
          </c:spPr>
          <c:invertIfNegative val="0"/>
          <c:cat>
            <c:numRef>
              <c:f>Ergebnisvergleich!$C$4:$G$4</c:f>
              <c:numCache>
                <c:formatCode>_ * #,##0_ ;_ * \-#,##0_ ;_ * "-"??_ ;_ @_ </c:formatCode>
                <c:ptCount val="5"/>
              </c:numCache>
            </c:numRef>
          </c:cat>
          <c:val>
            <c:numRef>
              <c:f>Ergebnisvergleich!$C$27:$G$27</c:f>
              <c:numCache>
                <c:formatCode>_ * #,##0_ ;_ * \-#,##0_ ;_ * "-"??_ ;_ @_ </c:formatCode>
                <c:ptCount val="5"/>
              </c:numCache>
            </c:numRef>
          </c:val>
          <c:extLst>
            <c:ext xmlns:c16="http://schemas.microsoft.com/office/drawing/2014/chart" uri="{C3380CC4-5D6E-409C-BE32-E72D297353CC}">
              <c16:uniqueId val="{00000001-4E7F-4BB1-BA5B-CB08728E5398}"/>
            </c:ext>
          </c:extLst>
        </c:ser>
        <c:ser>
          <c:idx val="2"/>
          <c:order val="2"/>
          <c:tx>
            <c:strRef>
              <c:f>Ergebnisvergleich!$A$28</c:f>
              <c:strCache>
                <c:ptCount val="1"/>
                <c:pt idx="0">
                  <c:v>Transporte für Bau</c:v>
                </c:pt>
              </c:strCache>
            </c:strRef>
          </c:tx>
          <c:spPr>
            <a:solidFill>
              <a:schemeClr val="accent3"/>
            </a:solidFill>
            <a:ln>
              <a:noFill/>
            </a:ln>
            <a:effectLst/>
          </c:spPr>
          <c:invertIfNegative val="0"/>
          <c:cat>
            <c:numRef>
              <c:f>Ergebnisvergleich!$C$4:$G$4</c:f>
              <c:numCache>
                <c:formatCode>_ * #,##0_ ;_ * \-#,##0_ ;_ * "-"??_ ;_ @_ </c:formatCode>
                <c:ptCount val="5"/>
              </c:numCache>
            </c:numRef>
          </c:cat>
          <c:val>
            <c:numRef>
              <c:f>Ergebnisvergleich!$C$28:$G$28</c:f>
              <c:numCache>
                <c:formatCode>_ * #,##0_ ;_ * \-#,##0_ ;_ * "-"??_ ;_ @_ </c:formatCode>
                <c:ptCount val="5"/>
              </c:numCache>
            </c:numRef>
          </c:val>
          <c:extLst>
            <c:ext xmlns:c16="http://schemas.microsoft.com/office/drawing/2014/chart" uri="{C3380CC4-5D6E-409C-BE32-E72D297353CC}">
              <c16:uniqueId val="{00000002-4E7F-4BB1-BA5B-CB08728E5398}"/>
            </c:ext>
          </c:extLst>
        </c:ser>
        <c:ser>
          <c:idx val="3"/>
          <c:order val="3"/>
          <c:tx>
            <c:strRef>
              <c:f>Ergebnisvergleich!$A$29</c:f>
              <c:strCache>
                <c:ptCount val="1"/>
                <c:pt idx="0">
                  <c:v>Traktion während Betriebsdauer</c:v>
                </c:pt>
              </c:strCache>
            </c:strRef>
          </c:tx>
          <c:spPr>
            <a:solidFill>
              <a:schemeClr val="accent4"/>
            </a:solidFill>
            <a:ln>
              <a:noFill/>
            </a:ln>
            <a:effectLst/>
          </c:spPr>
          <c:invertIfNegative val="0"/>
          <c:cat>
            <c:numRef>
              <c:f>Ergebnisvergleich!$C$4:$G$4</c:f>
              <c:numCache>
                <c:formatCode>_ * #,##0_ ;_ * \-#,##0_ ;_ * "-"??_ ;_ @_ </c:formatCode>
                <c:ptCount val="5"/>
              </c:numCache>
            </c:numRef>
          </c:cat>
          <c:val>
            <c:numRef>
              <c:f>Ergebnisvergleich!$C$29:$G$29</c:f>
              <c:numCache>
                <c:formatCode>_ * #,##0_ ;_ * \-#,##0_ ;_ * "-"??_ ;_ @_ </c:formatCode>
                <c:ptCount val="5"/>
              </c:numCache>
            </c:numRef>
          </c:val>
          <c:extLst>
            <c:ext xmlns:c16="http://schemas.microsoft.com/office/drawing/2014/chart" uri="{C3380CC4-5D6E-409C-BE32-E72D297353CC}">
              <c16:uniqueId val="{00000003-4E7F-4BB1-BA5B-CB08728E5398}"/>
            </c:ext>
          </c:extLst>
        </c:ser>
        <c:dLbls>
          <c:showLegendKey val="0"/>
          <c:showVal val="0"/>
          <c:showCatName val="0"/>
          <c:showSerName val="0"/>
          <c:showPercent val="0"/>
          <c:showBubbleSize val="0"/>
        </c:dLbls>
        <c:gapWidth val="150"/>
        <c:overlap val="100"/>
        <c:axId val="1658149096"/>
        <c:axId val="1658090384"/>
      </c:barChart>
      <c:catAx>
        <c:axId val="16581490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Innendurchmesser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_(* #,##0_);_(* \(#,##0\);_(* &quot;-&quot;_);_(@_)"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658090384"/>
        <c:crosses val="autoZero"/>
        <c:auto val="1"/>
        <c:lblAlgn val="ctr"/>
        <c:lblOffset val="100"/>
        <c:noMultiLvlLbl val="0"/>
      </c:catAx>
      <c:valAx>
        <c:axId val="16580903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Treibhausgas-Emissionen  [t CO2 eq]</a:t>
                </a:r>
              </a:p>
            </c:rich>
          </c:tx>
          <c:layout>
            <c:manualLayout>
              <c:xMode val="edge"/>
              <c:yMode val="edge"/>
              <c:x val="2.2228537810720938E-2"/>
              <c:y val="0.1282030808890206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658149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Gesamtkosten (Kostenbilanz)</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strRef>
              <c:f>Ergebnisvergleich!$A$34</c:f>
              <c:strCache>
                <c:ptCount val="1"/>
                <c:pt idx="0">
                  <c:v>Rohbaukosten, Anteil mit Abhängigkeit zum Radius (inkl. Kosten Bauenergie)</c:v>
                </c:pt>
              </c:strCache>
            </c:strRef>
          </c:tx>
          <c:spPr>
            <a:solidFill>
              <a:schemeClr val="accent1"/>
            </a:solidFill>
            <a:ln>
              <a:noFill/>
            </a:ln>
            <a:effectLst/>
          </c:spPr>
          <c:invertIfNegative val="0"/>
          <c:cat>
            <c:numRef>
              <c:f>Ergebnisvergleich!$C$4:$G$4</c:f>
              <c:numCache>
                <c:formatCode>_ * #,##0_ ;_ * \-#,##0_ ;_ * "-"??_ ;_ @_ </c:formatCode>
                <c:ptCount val="5"/>
              </c:numCache>
            </c:numRef>
          </c:cat>
          <c:val>
            <c:numRef>
              <c:f>Ergebnisvergleich!$C$34:$G$34</c:f>
              <c:numCache>
                <c:formatCode>_ * #,##0_ ;_ * \-#,##0_ ;_ * "-"??_ ;_ @_ </c:formatCode>
                <c:ptCount val="5"/>
              </c:numCache>
            </c:numRef>
          </c:val>
          <c:extLst>
            <c:ext xmlns:c16="http://schemas.microsoft.com/office/drawing/2014/chart" uri="{C3380CC4-5D6E-409C-BE32-E72D297353CC}">
              <c16:uniqueId val="{00000000-22D6-475A-A36A-09C798D9BF2A}"/>
            </c:ext>
          </c:extLst>
        </c:ser>
        <c:ser>
          <c:idx val="1"/>
          <c:order val="1"/>
          <c:tx>
            <c:strRef>
              <c:f>Ergebnisvergleich!$A$35</c:f>
              <c:strCache>
                <c:ptCount val="1"/>
                <c:pt idx="0">
                  <c:v>Kosten Traktionsenergie (diskontiert)</c:v>
                </c:pt>
              </c:strCache>
            </c:strRef>
          </c:tx>
          <c:spPr>
            <a:solidFill>
              <a:schemeClr val="accent2"/>
            </a:solidFill>
            <a:ln>
              <a:noFill/>
            </a:ln>
            <a:effectLst/>
          </c:spPr>
          <c:invertIfNegative val="0"/>
          <c:cat>
            <c:numRef>
              <c:f>Ergebnisvergleich!$C$4:$G$4</c:f>
              <c:numCache>
                <c:formatCode>_ * #,##0_ ;_ * \-#,##0_ ;_ * "-"??_ ;_ @_ </c:formatCode>
                <c:ptCount val="5"/>
              </c:numCache>
            </c:numRef>
          </c:cat>
          <c:val>
            <c:numRef>
              <c:f>Ergebnisvergleich!$C$35:$G$35</c:f>
              <c:numCache>
                <c:formatCode>_ * #,##0_ ;_ * \-#,##0_ ;_ * "-"??_ ;_ @_ </c:formatCode>
                <c:ptCount val="5"/>
              </c:numCache>
            </c:numRef>
          </c:val>
          <c:extLst>
            <c:ext xmlns:c16="http://schemas.microsoft.com/office/drawing/2014/chart" uri="{C3380CC4-5D6E-409C-BE32-E72D297353CC}">
              <c16:uniqueId val="{00000001-22D6-475A-A36A-09C798D9BF2A}"/>
            </c:ext>
          </c:extLst>
        </c:ser>
        <c:ser>
          <c:idx val="2"/>
          <c:order val="2"/>
          <c:tx>
            <c:strRef>
              <c:f>Ergebnisvergleich!$A$36</c:f>
              <c:strCache>
                <c:ptCount val="1"/>
                <c:pt idx="0">
                  <c:v>Kosten Treibhausgasemissionen (während Betriebsphase diskontiert)</c:v>
                </c:pt>
              </c:strCache>
            </c:strRef>
          </c:tx>
          <c:spPr>
            <a:solidFill>
              <a:schemeClr val="accent3"/>
            </a:solidFill>
            <a:ln>
              <a:noFill/>
            </a:ln>
            <a:effectLst/>
          </c:spPr>
          <c:invertIfNegative val="0"/>
          <c:cat>
            <c:numRef>
              <c:f>Ergebnisvergleich!$C$4:$G$4</c:f>
              <c:numCache>
                <c:formatCode>_ * #,##0_ ;_ * \-#,##0_ ;_ * "-"??_ ;_ @_ </c:formatCode>
                <c:ptCount val="5"/>
              </c:numCache>
            </c:numRef>
          </c:cat>
          <c:val>
            <c:numRef>
              <c:f>Ergebnisvergleich!$C$36:$G$36</c:f>
              <c:numCache>
                <c:formatCode>_ * #,##0_ ;_ * \-#,##0_ ;_ * "-"??_ ;_ @_ </c:formatCode>
                <c:ptCount val="5"/>
              </c:numCache>
            </c:numRef>
          </c:val>
          <c:extLst>
            <c:ext xmlns:c16="http://schemas.microsoft.com/office/drawing/2014/chart" uri="{C3380CC4-5D6E-409C-BE32-E72D297353CC}">
              <c16:uniqueId val="{00000002-22D6-475A-A36A-09C798D9BF2A}"/>
            </c:ext>
          </c:extLst>
        </c:ser>
        <c:dLbls>
          <c:showLegendKey val="0"/>
          <c:showVal val="0"/>
          <c:showCatName val="0"/>
          <c:showSerName val="0"/>
          <c:showPercent val="0"/>
          <c:showBubbleSize val="0"/>
        </c:dLbls>
        <c:gapWidth val="150"/>
        <c:overlap val="100"/>
        <c:axId val="1019534408"/>
        <c:axId val="1019530800"/>
      </c:barChart>
      <c:catAx>
        <c:axId val="10195344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Innendurchmesser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_(* #,##0_);_(* \(#,##0\);_(* &quot;-&quot;_);_(@_)"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19530800"/>
        <c:crosses val="autoZero"/>
        <c:auto val="1"/>
        <c:lblAlgn val="ctr"/>
        <c:lblOffset val="100"/>
        <c:noMultiLvlLbl val="0"/>
      </c:catAx>
      <c:valAx>
        <c:axId val="1019530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CH"/>
                  <a:t>Gesamtkosten [Mio. 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19534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4</xdr:col>
      <xdr:colOff>1</xdr:colOff>
      <xdr:row>18</xdr:row>
      <xdr:rowOff>0</xdr:rowOff>
    </xdr:from>
    <xdr:to>
      <xdr:col>10</xdr:col>
      <xdr:colOff>560624</xdr:colOff>
      <xdr:row>46</xdr:row>
      <xdr:rowOff>168088</xdr:rowOff>
    </xdr:to>
    <xdr:pic>
      <xdr:nvPicPr>
        <xdr:cNvPr id="4" name="Grafik 3">
          <a:extLst>
            <a:ext uri="{FF2B5EF4-FFF2-40B4-BE49-F238E27FC236}">
              <a16:creationId xmlns:a16="http://schemas.microsoft.com/office/drawing/2014/main" id="{D901692E-FD9C-9C0B-B25F-D7829ADEB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11854" y="2913529"/>
          <a:ext cx="5995476" cy="5647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114430</xdr:colOff>
      <xdr:row>21</xdr:row>
      <xdr:rowOff>55513</xdr:rowOff>
    </xdr:from>
    <xdr:to>
      <xdr:col>27</xdr:col>
      <xdr:colOff>611468</xdr:colOff>
      <xdr:row>61</xdr:row>
      <xdr:rowOff>2925</xdr:rowOff>
    </xdr:to>
    <xdr:pic>
      <xdr:nvPicPr>
        <xdr:cNvPr id="2" name="Grafik 1">
          <a:extLst>
            <a:ext uri="{FF2B5EF4-FFF2-40B4-BE49-F238E27FC236}">
              <a16:creationId xmlns:a16="http://schemas.microsoft.com/office/drawing/2014/main" id="{C534F88C-2646-4F47-B6BA-59FFA65C8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44505" y="3779788"/>
          <a:ext cx="7421713" cy="7034012"/>
        </a:xfrm>
        <a:prstGeom prst="rect">
          <a:avLst/>
        </a:prstGeom>
      </xdr:spPr>
    </xdr:pic>
    <xdr:clientData/>
  </xdr:twoCellAnchor>
  <xdr:twoCellAnchor>
    <xdr:from>
      <xdr:col>12</xdr:col>
      <xdr:colOff>716280</xdr:colOff>
      <xdr:row>15</xdr:row>
      <xdr:rowOff>142875</xdr:rowOff>
    </xdr:from>
    <xdr:to>
      <xdr:col>14</xdr:col>
      <xdr:colOff>19050</xdr:colOff>
      <xdr:row>18</xdr:row>
      <xdr:rowOff>22860</xdr:rowOff>
    </xdr:to>
    <xdr:cxnSp macro="">
      <xdr:nvCxnSpPr>
        <xdr:cNvPr id="3" name="Gerade Verbindung mit Pfeil 3">
          <a:extLst>
            <a:ext uri="{FF2B5EF4-FFF2-40B4-BE49-F238E27FC236}">
              <a16:creationId xmlns:a16="http://schemas.microsoft.com/office/drawing/2014/main" id="{385FD053-9724-4133-AA67-7D8DE23081D7}"/>
            </a:ext>
          </a:extLst>
        </xdr:cNvPr>
        <xdr:cNvCxnSpPr/>
      </xdr:nvCxnSpPr>
      <xdr:spPr>
        <a:xfrm flipV="1">
          <a:off x="10174605" y="2781300"/>
          <a:ext cx="1169670" cy="42291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24127</xdr:colOff>
      <xdr:row>16</xdr:row>
      <xdr:rowOff>22860</xdr:rowOff>
    </xdr:from>
    <xdr:to>
      <xdr:col>12</xdr:col>
      <xdr:colOff>51637</xdr:colOff>
      <xdr:row>37</xdr:row>
      <xdr:rowOff>3260</xdr:rowOff>
    </xdr:to>
    <xdr:graphicFrame macro="">
      <xdr:nvGraphicFramePr>
        <xdr:cNvPr id="6" name="Diagramm 1">
          <a:extLst>
            <a:ext uri="{FF2B5EF4-FFF2-40B4-BE49-F238E27FC236}">
              <a16:creationId xmlns:a16="http://schemas.microsoft.com/office/drawing/2014/main" id="{3E83DEF4-83BA-4DCD-89DD-AEC14BB88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19050</xdr:colOff>
      <xdr:row>15</xdr:row>
      <xdr:rowOff>0</xdr:rowOff>
    </xdr:from>
    <xdr:to>
      <xdr:col>25</xdr:col>
      <xdr:colOff>19050</xdr:colOff>
      <xdr:row>30</xdr:row>
      <xdr:rowOff>100012</xdr:rowOff>
    </xdr:to>
    <xdr:graphicFrame macro="">
      <xdr:nvGraphicFramePr>
        <xdr:cNvPr id="2" name="Diagramm 1">
          <a:extLst>
            <a:ext uri="{FF2B5EF4-FFF2-40B4-BE49-F238E27FC236}">
              <a16:creationId xmlns:a16="http://schemas.microsoft.com/office/drawing/2014/main" id="{2DF0B45D-65E1-4FA4-8841-7454F8402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379557</xdr:colOff>
      <xdr:row>2</xdr:row>
      <xdr:rowOff>171450</xdr:rowOff>
    </xdr:from>
    <xdr:to>
      <xdr:col>13</xdr:col>
      <xdr:colOff>380624</xdr:colOff>
      <xdr:row>20</xdr:row>
      <xdr:rowOff>126300</xdr:rowOff>
    </xdr:to>
    <xdr:graphicFrame macro="">
      <xdr:nvGraphicFramePr>
        <xdr:cNvPr id="3" name="Diagramm 2">
          <a:extLst>
            <a:ext uri="{FF2B5EF4-FFF2-40B4-BE49-F238E27FC236}">
              <a16:creationId xmlns:a16="http://schemas.microsoft.com/office/drawing/2014/main" id="{76A648D0-1ED9-4CEA-A073-D68E82D2DC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13</xdr:col>
      <xdr:colOff>591761</xdr:colOff>
      <xdr:row>2</xdr:row>
      <xdr:rowOff>171450</xdr:rowOff>
    </xdr:from>
    <xdr:to>
      <xdr:col>19</xdr:col>
      <xdr:colOff>591761</xdr:colOff>
      <xdr:row>20</xdr:row>
      <xdr:rowOff>126300</xdr:rowOff>
    </xdr:to>
    <xdr:graphicFrame macro="">
      <xdr:nvGraphicFramePr>
        <xdr:cNvPr id="4" name="Diagramm 3">
          <a:extLst>
            <a:ext uri="{FF2B5EF4-FFF2-40B4-BE49-F238E27FC236}">
              <a16:creationId xmlns:a16="http://schemas.microsoft.com/office/drawing/2014/main" id="{2F659A7C-47D5-4054-A88C-A9B02769F1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7</xdr:col>
      <xdr:colOff>379557</xdr:colOff>
      <xdr:row>21</xdr:row>
      <xdr:rowOff>114300</xdr:rowOff>
    </xdr:from>
    <xdr:to>
      <xdr:col>13</xdr:col>
      <xdr:colOff>380624</xdr:colOff>
      <xdr:row>39</xdr:row>
      <xdr:rowOff>69150</xdr:rowOff>
    </xdr:to>
    <xdr:graphicFrame macro="">
      <xdr:nvGraphicFramePr>
        <xdr:cNvPr id="2" name="Diagramm 4">
          <a:extLst>
            <a:ext uri="{FF2B5EF4-FFF2-40B4-BE49-F238E27FC236}">
              <a16:creationId xmlns:a16="http://schemas.microsoft.com/office/drawing/2014/main" id="{4875B371-D971-4FE5-B751-61EFCCA062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591761</xdr:colOff>
      <xdr:row>21</xdr:row>
      <xdr:rowOff>114300</xdr:rowOff>
    </xdr:from>
    <xdr:to>
      <xdr:col>19</xdr:col>
      <xdr:colOff>591761</xdr:colOff>
      <xdr:row>39</xdr:row>
      <xdr:rowOff>69150</xdr:rowOff>
    </xdr:to>
    <xdr:graphicFrame macro="">
      <xdr:nvGraphicFramePr>
        <xdr:cNvPr id="7" name="Diagramm 6">
          <a:extLst>
            <a:ext uri="{FF2B5EF4-FFF2-40B4-BE49-F238E27FC236}">
              <a16:creationId xmlns:a16="http://schemas.microsoft.com/office/drawing/2014/main" id="{BBA1DEEC-0051-47CA-AACD-2ABF912654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22</xdr:col>
      <xdr:colOff>180975</xdr:colOff>
      <xdr:row>20</xdr:row>
      <xdr:rowOff>47625</xdr:rowOff>
    </xdr:from>
    <xdr:ext cx="65" cy="172227"/>
    <xdr:sp macro="" textlink="">
      <xdr:nvSpPr>
        <xdr:cNvPr id="2" name="Textfeld 1">
          <a:extLst>
            <a:ext uri="{FF2B5EF4-FFF2-40B4-BE49-F238E27FC236}">
              <a16:creationId xmlns:a16="http://schemas.microsoft.com/office/drawing/2014/main" id="{7C2D3307-5793-488E-BA47-56FA3B3CA864}"/>
            </a:ext>
          </a:extLst>
        </xdr:cNvPr>
        <xdr:cNvSpPr txBox="1"/>
      </xdr:nvSpPr>
      <xdr:spPr>
        <a:xfrm>
          <a:off x="10744200" y="31242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497823-064B-4C53-9500-338B1B8BDCC6}" name="Eins" displayName="Eins" ref="E3:E4" totalsRowShown="0" headerRowDxfId="40" dataDxfId="39">
  <autoFilter ref="E3:E4" xr:uid="{78497823-064B-4C53-9500-338B1B8BDCC6}"/>
  <tableColumns count="1">
    <tableColumn id="1" xr3:uid="{13E95A10-CBA4-4F38-A65C-D685366D74A6}" name="Eins" dataDxfId="3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D74388-5763-444D-948B-FCF95B7FC157}" name="Zwei" displayName="Zwei" ref="F3:F5" totalsRowShown="0" headerRowDxfId="37" dataDxfId="36">
  <autoFilter ref="F3:F5" xr:uid="{FFD74388-5763-444D-948B-FCF95B7FC157}"/>
  <tableColumns count="1">
    <tableColumn id="1" xr3:uid="{54F17074-260A-4E18-A14B-66E898913AE1}" name="Zwei" dataDxf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025DA1-9CE2-4A93-8878-4871EBFD31C1}" name="Drei" displayName="Drei" ref="G3:G6" totalsRowShown="0" headerRowDxfId="34" dataDxfId="33">
  <autoFilter ref="G3:G6" xr:uid="{D5025DA1-9CE2-4A93-8878-4871EBFD31C1}"/>
  <tableColumns count="1">
    <tableColumn id="1" xr3:uid="{122A30AE-643B-44F7-99E1-D46D5D87F69E}" name="Drei" dataDxfId="3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2CF5DD-41C6-4CDA-8CE6-795C43BB1495}" name="Vier" displayName="Vier" ref="H3:H7" totalsRowShown="0" headerRowDxfId="31" dataDxfId="30">
  <autoFilter ref="H3:H7" xr:uid="{3A2CF5DD-41C6-4CDA-8CE6-795C43BB1495}"/>
  <tableColumns count="1">
    <tableColumn id="1" xr3:uid="{1CA96584-0D04-4572-9DCD-958E802DAB63}" name="Vier" dataDxfId="2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974615C-3909-47E5-BB02-B22AB60830D8}" name="TBM" displayName="TBM" ref="K3:K6" totalsRowShown="0" headerRowDxfId="28" dataDxfId="27">
  <autoFilter ref="K3:K6" xr:uid="{2974615C-3909-47E5-BB02-B22AB60830D8}"/>
  <tableColumns count="1">
    <tableColumn id="1" xr3:uid="{F8600800-C4EA-4D14-8A70-5952E483AAF2}" name="TBM" dataDxfId="2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7969E91-BF4F-4DA1-8B37-A7B0659DA214}" name="SPV" displayName="SPV" ref="L3:L6" totalsRowShown="0" headerRowDxfId="25" dataDxfId="24">
  <autoFilter ref="L3:L6" xr:uid="{B7969E91-BF4F-4DA1-8B37-A7B0659DA214}"/>
  <tableColumns count="1">
    <tableColumn id="1" xr3:uid="{EAA5E855-F198-40AF-9E21-83EA887BC27D}" name="SPV" dataDxfId="2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5E2F6ED-11CC-499B-9FA6-71650F1F418D}" name="MUF" displayName="MUF" ref="M3:M6" totalsRowShown="0" headerRowDxfId="22" dataDxfId="21">
  <autoFilter ref="M3:M6" xr:uid="{C5E2F6ED-11CC-499B-9FA6-71650F1F418D}"/>
  <tableColumns count="1">
    <tableColumn id="1" xr3:uid="{857712A1-6333-4106-983D-92A95A26D503}" name="MUF" dataDxfId="2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579056-CA1F-4FD9-95D3-783952A04A94}" name="MUL" displayName="MUL" ref="N3:N4" totalsRowShown="0" headerRowDxfId="19" dataDxfId="18">
  <autoFilter ref="N3:N4" xr:uid="{61579056-CA1F-4FD9-95D3-783952A04A94}"/>
  <tableColumns count="1">
    <tableColumn id="1" xr3:uid="{C9DA8A1D-E64C-477D-8B82-4D553C3EE841}" name="MUL" dataDxfId="1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5352DA6-8143-4AC6-BA47-83F108B795DE}" name="SM" displayName="SM" ref="O3:O4" totalsRowShown="0" headerRowDxfId="16" dataDxfId="15">
  <autoFilter ref="O3:O4" xr:uid="{95352DA6-8143-4AC6-BA47-83F108B795DE}"/>
  <tableColumns count="1">
    <tableColumn id="1" xr3:uid="{19B0D19A-27CF-4650-807E-D82E48E2DF59}" name="SM" dataDxfId="1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hyperlink" Target="https://de.wikipedia.org/wiki/SBB_RABe_511" TargetMode="External"/><Relationship Id="rId2" Type="http://schemas.openxmlformats.org/officeDocument/2006/relationships/hyperlink" Target="https://de.wikipedia.org/wiki/SBB_RABe_502" TargetMode="External"/><Relationship Id="rId1" Type="http://schemas.openxmlformats.org/officeDocument/2006/relationships/hyperlink" Target="https://de.wikipedia.org/wiki/SBB_RABe_501"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de.wikipedia.org/wiki/Stadler_Flirt"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2F59A-EF58-4648-A0E3-7678641C2CDA}">
  <sheetPr>
    <tabColor rgb="FFFF0000"/>
  </sheetPr>
  <dimension ref="A1:H39"/>
  <sheetViews>
    <sheetView tabSelected="1" workbookViewId="0">
      <selection sqref="A1:C1"/>
    </sheetView>
  </sheetViews>
  <sheetFormatPr baseColWidth="10" defaultColWidth="11.42578125" defaultRowHeight="14.25" customHeight="1"/>
  <cols>
    <col min="1" max="1" width="3.5703125" style="6" customWidth="1"/>
    <col min="2" max="2" width="3.5703125" style="5" customWidth="1"/>
    <col min="3" max="3" width="167.28515625" style="5" customWidth="1"/>
    <col min="4" max="4" width="4.42578125" style="5" customWidth="1"/>
    <col min="5" max="5" width="13" style="5" customWidth="1"/>
    <col min="6" max="6" width="22.85546875" style="5" customWidth="1"/>
    <col min="7" max="11" width="11.42578125" style="5"/>
    <col min="12" max="12" width="15" style="5" customWidth="1"/>
    <col min="13" max="13" width="27.5703125" style="5" customWidth="1"/>
    <col min="14" max="14" width="43.140625" style="5" customWidth="1"/>
    <col min="15" max="16384" width="11.42578125" style="5"/>
  </cols>
  <sheetData>
    <row r="1" spans="1:8" ht="14.25" customHeight="1">
      <c r="A1" s="973" t="s">
        <v>0</v>
      </c>
      <c r="B1" s="973"/>
      <c r="C1" s="973"/>
    </row>
    <row r="2" spans="1:8" ht="10.5" customHeight="1">
      <c r="A2" s="975"/>
      <c r="B2" s="975"/>
      <c r="C2" s="975"/>
    </row>
    <row r="3" spans="1:8" ht="14.25" customHeight="1">
      <c r="A3" s="976" t="s">
        <v>1</v>
      </c>
      <c r="B3" s="976"/>
      <c r="C3" s="976"/>
    </row>
    <row r="4" spans="1:8" ht="14.25" customHeight="1">
      <c r="A4" s="977">
        <v>1</v>
      </c>
      <c r="B4" s="977"/>
      <c r="C4" s="726" t="s">
        <v>2</v>
      </c>
    </row>
    <row r="5" spans="1:8" ht="14.25" customHeight="1">
      <c r="A5" s="977" t="s">
        <v>644</v>
      </c>
      <c r="B5" s="977"/>
      <c r="C5" s="726" t="s">
        <v>645</v>
      </c>
    </row>
    <row r="6" spans="1:8" ht="14.25" customHeight="1">
      <c r="A6" s="978">
        <v>2</v>
      </c>
      <c r="B6" s="978"/>
      <c r="C6" s="56" t="s">
        <v>672</v>
      </c>
    </row>
    <row r="7" spans="1:8" ht="14.25" customHeight="1">
      <c r="A7" s="978">
        <v>2.1</v>
      </c>
      <c r="B7" s="978"/>
      <c r="C7" s="56" t="s">
        <v>690</v>
      </c>
    </row>
    <row r="8" spans="1:8" ht="10.5" customHeight="1">
      <c r="A8" s="975"/>
      <c r="B8" s="975"/>
      <c r="C8" s="975"/>
    </row>
    <row r="9" spans="1:8" ht="14.25" customHeight="1">
      <c r="A9" s="974" t="s">
        <v>3</v>
      </c>
      <c r="B9" s="974"/>
      <c r="C9" s="974"/>
    </row>
    <row r="10" spans="1:8" ht="10.5" customHeight="1">
      <c r="A10" s="975"/>
      <c r="B10" s="975"/>
      <c r="C10" s="975"/>
    </row>
    <row r="11" spans="1:8" ht="14.25" customHeight="1">
      <c r="A11" s="982" t="s">
        <v>4</v>
      </c>
      <c r="B11" s="982"/>
      <c r="C11" s="982"/>
    </row>
    <row r="12" spans="1:8" ht="14.25" customHeight="1">
      <c r="A12" s="6" t="s">
        <v>5</v>
      </c>
      <c r="B12" s="984" t="s">
        <v>6</v>
      </c>
      <c r="C12" s="984"/>
      <c r="E12" s="5" t="s">
        <v>647</v>
      </c>
      <c r="G12" s="975" t="s">
        <v>651</v>
      </c>
      <c r="H12" s="975"/>
    </row>
    <row r="13" spans="1:8" ht="14.25" customHeight="1">
      <c r="A13" s="981" t="s">
        <v>5</v>
      </c>
      <c r="B13" s="979" t="s">
        <v>654</v>
      </c>
      <c r="C13" s="979"/>
      <c r="E13" s="954" t="s">
        <v>7</v>
      </c>
      <c r="F13" s="955"/>
      <c r="G13" s="950" t="s">
        <v>648</v>
      </c>
      <c r="H13" s="951" t="s">
        <v>649</v>
      </c>
    </row>
    <row r="14" spans="1:8" ht="14.25" customHeight="1">
      <c r="A14" s="981"/>
      <c r="B14" s="979"/>
      <c r="C14" s="979"/>
      <c r="E14" s="956" t="s">
        <v>646</v>
      </c>
      <c r="F14" s="957"/>
      <c r="G14" s="951" t="s">
        <v>650</v>
      </c>
      <c r="H14" s="951" t="s">
        <v>649</v>
      </c>
    </row>
    <row r="15" spans="1:8" ht="14.25" customHeight="1">
      <c r="A15" s="6" t="s">
        <v>5</v>
      </c>
      <c r="B15" s="980" t="s">
        <v>655</v>
      </c>
      <c r="C15" s="980"/>
      <c r="E15" s="958" t="s">
        <v>652</v>
      </c>
      <c r="F15" s="959"/>
      <c r="G15" s="952" t="s">
        <v>648</v>
      </c>
      <c r="H15" s="951" t="s">
        <v>649</v>
      </c>
    </row>
    <row r="16" spans="1:8" ht="14.25" customHeight="1">
      <c r="A16" s="6" t="s">
        <v>5</v>
      </c>
      <c r="B16" s="980" t="s">
        <v>8</v>
      </c>
      <c r="C16" s="980"/>
      <c r="H16" s="23" t="s">
        <v>653</v>
      </c>
    </row>
    <row r="17" spans="1:3" ht="14.25" customHeight="1">
      <c r="A17" s="6" t="s">
        <v>5</v>
      </c>
      <c r="B17" s="980" t="s">
        <v>9</v>
      </c>
      <c r="C17" s="980"/>
    </row>
    <row r="18" spans="1:3" ht="14.25" customHeight="1">
      <c r="A18" s="6" t="s">
        <v>5</v>
      </c>
      <c r="B18" s="949" t="s">
        <v>656</v>
      </c>
      <c r="C18" s="949"/>
    </row>
    <row r="19" spans="1:3" ht="10.5" customHeight="1">
      <c r="A19" s="975"/>
      <c r="B19" s="975"/>
      <c r="C19" s="975"/>
    </row>
    <row r="20" spans="1:3" ht="14.25" customHeight="1">
      <c r="A20" s="982" t="s">
        <v>10</v>
      </c>
      <c r="B20" s="982"/>
      <c r="C20" s="982"/>
    </row>
    <row r="21" spans="1:3" ht="14.25" customHeight="1">
      <c r="A21" s="6" t="s">
        <v>5</v>
      </c>
      <c r="B21" s="980" t="s">
        <v>11</v>
      </c>
      <c r="C21" s="980"/>
    </row>
    <row r="22" spans="1:3" ht="14.25" customHeight="1">
      <c r="A22" s="6" t="s">
        <v>5</v>
      </c>
      <c r="B22" s="980" t="s">
        <v>657</v>
      </c>
      <c r="C22" s="980"/>
    </row>
    <row r="23" spans="1:3" ht="14.25" customHeight="1">
      <c r="A23" s="6" t="s">
        <v>5</v>
      </c>
      <c r="B23" s="983" t="s">
        <v>12</v>
      </c>
      <c r="C23" s="983"/>
    </row>
    <row r="24" spans="1:3" ht="10.5" customHeight="1">
      <c r="A24" s="975"/>
      <c r="B24" s="975"/>
      <c r="C24" s="975"/>
    </row>
    <row r="25" spans="1:3" ht="14.25" customHeight="1">
      <c r="A25" s="982" t="s">
        <v>13</v>
      </c>
      <c r="B25" s="982"/>
      <c r="C25" s="982"/>
    </row>
    <row r="26" spans="1:3" ht="14.25" customHeight="1">
      <c r="A26" s="981" t="s">
        <v>5</v>
      </c>
      <c r="B26" s="979" t="s">
        <v>658</v>
      </c>
      <c r="C26" s="980"/>
    </row>
    <row r="27" spans="1:3" ht="14.25" customHeight="1">
      <c r="A27" s="981"/>
      <c r="B27" s="980"/>
      <c r="C27" s="980"/>
    </row>
    <row r="28" spans="1:3" ht="14.25" customHeight="1">
      <c r="A28" s="6" t="s">
        <v>5</v>
      </c>
      <c r="B28" s="727" t="s">
        <v>14</v>
      </c>
    </row>
    <row r="29" spans="1:3" ht="14.25" customHeight="1">
      <c r="A29" s="6" t="s">
        <v>5</v>
      </c>
      <c r="B29" s="727" t="s">
        <v>15</v>
      </c>
    </row>
    <row r="30" spans="1:3" ht="14.25" customHeight="1">
      <c r="A30" s="981" t="s">
        <v>5</v>
      </c>
      <c r="B30" s="979" t="s">
        <v>16</v>
      </c>
      <c r="C30" s="980"/>
    </row>
    <row r="31" spans="1:3" ht="14.25" customHeight="1">
      <c r="A31" s="981"/>
      <c r="B31" s="980"/>
      <c r="C31" s="980"/>
    </row>
    <row r="32" spans="1:3" ht="14.25" customHeight="1">
      <c r="A32" s="6" t="s">
        <v>5</v>
      </c>
      <c r="B32" s="980" t="s">
        <v>17</v>
      </c>
      <c r="C32" s="980"/>
    </row>
    <row r="33" spans="1:3" ht="61.15" customHeight="1">
      <c r="A33" s="953" t="s">
        <v>5</v>
      </c>
      <c r="B33" s="985" t="s">
        <v>659</v>
      </c>
      <c r="C33" s="985"/>
    </row>
    <row r="34" spans="1:3" ht="14.25" customHeight="1">
      <c r="B34" s="727"/>
    </row>
    <row r="35" spans="1:3" ht="14.25" customHeight="1">
      <c r="B35" s="727"/>
    </row>
    <row r="36" spans="1:3" ht="14.25" customHeight="1">
      <c r="B36" s="727"/>
    </row>
    <row r="37" spans="1:3" ht="14.25" customHeight="1">
      <c r="B37" s="727"/>
    </row>
    <row r="38" spans="1:3" ht="14.25" customHeight="1">
      <c r="B38" s="727"/>
    </row>
    <row r="39" spans="1:3" ht="10.5" customHeight="1">
      <c r="A39" s="975"/>
      <c r="B39" s="975"/>
      <c r="C39" s="975"/>
    </row>
  </sheetData>
  <sheetProtection algorithmName="SHA-512" hashValue="l6loKjLGFx+Xqe2aEr0LOjXucho4Pj/u/5AwaAzml4YGDNnWNjU6cF6YPLthPVotJPXPWF0miciKvsI4VgwqGA==" saltValue="XLICOg+cvBXoTlKIu82BXA==" spinCount="100000" sheet="1" objects="1" scenarios="1"/>
  <mergeCells count="32">
    <mergeCell ref="G12:H12"/>
    <mergeCell ref="B32:C32"/>
    <mergeCell ref="B33:C33"/>
    <mergeCell ref="B13:C14"/>
    <mergeCell ref="A13:A14"/>
    <mergeCell ref="A11:C11"/>
    <mergeCell ref="A20:C20"/>
    <mergeCell ref="A25:C25"/>
    <mergeCell ref="B21:C21"/>
    <mergeCell ref="B22:C22"/>
    <mergeCell ref="B23:C23"/>
    <mergeCell ref="B12:C12"/>
    <mergeCell ref="B15:C15"/>
    <mergeCell ref="B16:C16"/>
    <mergeCell ref="B17:C17"/>
    <mergeCell ref="A24:C24"/>
    <mergeCell ref="A19:C19"/>
    <mergeCell ref="A39:C39"/>
    <mergeCell ref="B26:C27"/>
    <mergeCell ref="A26:A27"/>
    <mergeCell ref="A30:A31"/>
    <mergeCell ref="B30:C31"/>
    <mergeCell ref="A1:C1"/>
    <mergeCell ref="A9:C9"/>
    <mergeCell ref="A10:C10"/>
    <mergeCell ref="A3:C3"/>
    <mergeCell ref="A4:B4"/>
    <mergeCell ref="A2:C2"/>
    <mergeCell ref="A8:C8"/>
    <mergeCell ref="A6:B6"/>
    <mergeCell ref="A5:B5"/>
    <mergeCell ref="A7:B7"/>
  </mergeCells>
  <pageMargins left="0.7" right="0.7" top="0.78740157499999996" bottom="0.78740157499999996"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40761-1C86-417B-8634-A6092EC6392A}">
  <sheetPr>
    <tabColor theme="8" tint="0.79998168889431442"/>
  </sheetPr>
  <dimension ref="A1:P9"/>
  <sheetViews>
    <sheetView workbookViewId="0">
      <selection sqref="A1:C1"/>
    </sheetView>
  </sheetViews>
  <sheetFormatPr baseColWidth="10" defaultColWidth="11.42578125" defaultRowHeight="14.25" customHeight="1"/>
  <cols>
    <col min="1" max="1" width="24.7109375" customWidth="1"/>
    <col min="2" max="8" width="20.42578125" customWidth="1"/>
  </cols>
  <sheetData>
    <row r="1" spans="1:16" ht="14.25" customHeight="1">
      <c r="A1" s="1025" t="s">
        <v>494</v>
      </c>
      <c r="B1" s="1025"/>
      <c r="C1" s="1025"/>
    </row>
    <row r="3" spans="1:16" ht="14.25" customHeight="1">
      <c r="A3" s="594" t="s">
        <v>495</v>
      </c>
      <c r="B3" s="814" t="str">
        <f>IF(Tunneldaten!E12="","",Tunneldaten!E12)</f>
        <v>A</v>
      </c>
      <c r="C3" s="814" t="str">
        <f>IF(Tunneldaten!F12="","",Tunneldaten!F12)</f>
        <v/>
      </c>
      <c r="D3" s="814" t="str">
        <f>IF(Tunneldaten!G12="","",Tunneldaten!G12)</f>
        <v/>
      </c>
      <c r="E3" s="814" t="str">
        <f>IF(Tunneldaten!H12="","",Tunneldaten!H12)</f>
        <v/>
      </c>
      <c r="F3" s="814" t="str">
        <f>IF(Tunneldaten!I12="","",Tunneldaten!I12)</f>
        <v/>
      </c>
      <c r="G3" s="814" t="str">
        <f>IF(Tunneldaten!J12="","",Tunneldaten!J12)</f>
        <v/>
      </c>
      <c r="H3" s="815" t="s">
        <v>496</v>
      </c>
    </row>
    <row r="4" spans="1:16" ht="8.25" customHeight="1">
      <c r="B4" s="463"/>
      <c r="C4" s="463"/>
      <c r="D4" s="463"/>
      <c r="E4" s="463"/>
      <c r="F4" s="463"/>
      <c r="G4" s="463"/>
      <c r="H4" s="467"/>
    </row>
    <row r="5" spans="1:16" ht="14.25" customHeight="1">
      <c r="A5" s="811" t="s">
        <v>163</v>
      </c>
      <c r="B5" s="464">
        <f>IF(B$3&lt;&gt;"",'Baukosten-SM'!J45+'Baukosten-SPV'!J45+'Baukosten-MUL'!J45+'Baukosten-MUF'!J45+'Baukosten-TBM'!J45,"")</f>
        <v>0</v>
      </c>
      <c r="C5" s="464" t="str">
        <f>IF(C$3&lt;&gt;"",'Baukosten-SM'!M45+'Baukosten-SPV'!M45+'Baukosten-MUL'!M45+'Baukosten-MUF'!M45+'Baukosten-TBM'!M45,"")</f>
        <v/>
      </c>
      <c r="D5" s="464" t="str">
        <f>IF(D$3&lt;&gt;"",'Baukosten-SM'!P45+'Baukosten-SPV'!P45+'Baukosten-MUL'!P45+'Baukosten-MUF'!P45+'Baukosten-TBM'!P45,"")</f>
        <v/>
      </c>
      <c r="E5" s="464" t="str">
        <f>IF(E$3&lt;&gt;"",'Baukosten-SM'!S45+'Baukosten-SPV'!S45+'Baukosten-MUL'!S45+'Baukosten-MUF'!S45+'Baukosten-TBM'!S45,"")</f>
        <v/>
      </c>
      <c r="F5" s="464" t="str">
        <f>IF(F$3&lt;&gt;"",'Baukosten-SM'!V45+'Baukosten-SPV'!V45+'Baukosten-MUL'!V45+'Baukosten-MUF'!V45+'Baukosten-TBM'!V45,"")</f>
        <v/>
      </c>
      <c r="G5" s="464" t="str">
        <f>IF(G$3&lt;&gt;"",'Baukosten-SM'!Y45+'Baukosten-SPV'!Y45+'Baukosten-MUL'!Y45+'Baukosten-MUF'!Y45+'Baukosten-TBM'!Y45,"")</f>
        <v/>
      </c>
      <c r="H5" s="468">
        <f>SUM(B5:G5)*AnzahlRöhren</f>
        <v>0</v>
      </c>
      <c r="K5" s="462" t="str">
        <f>IF(M3&lt;&gt;"",'Baukosten-SM'!V45+'Baukosten-SPV'!V45+'Baukosten-MUL'!V45+'Baukosten-MUF'!V45+'Baukosten-TBM'!V45,"")</f>
        <v/>
      </c>
      <c r="L5" s="462" t="str">
        <f>IF(N3&lt;&gt;"",'Baukosten-SM'!W45+'Baukosten-SPV'!W45+'Baukosten-MUL'!W45+'Baukosten-MUF'!W45+'Baukosten-TBM'!W45,"")</f>
        <v/>
      </c>
      <c r="M5" s="462" t="str">
        <f>IF(O3&lt;&gt;"",'Baukosten-SM'!X45+'Baukosten-SPV'!X45+'Baukosten-MUL'!X45+'Baukosten-MUF'!X45+'Baukosten-TBM'!X45,"")</f>
        <v/>
      </c>
      <c r="N5" s="462" t="str">
        <f>IF(P3&lt;&gt;"",'Baukosten-SM'!Y45+'Baukosten-SPV'!Y45+'Baukosten-MUL'!Y45+'Baukosten-MUF'!Y45+'Baukosten-TBM'!Y45,"")</f>
        <v/>
      </c>
      <c r="O5" s="462" t="str">
        <f>IF(Q3&lt;&gt;"",'Baukosten-SM'!Z45+'Baukosten-SPV'!Z45+'Baukosten-MUL'!Z45+'Baukosten-MUF'!Z45+'Baukosten-TBM'!Z45,"")</f>
        <v/>
      </c>
      <c r="P5" s="462" t="str">
        <f>IF(R3&lt;&gt;"",'Baukosten-SM'!AA45+'Baukosten-SPV'!AA45+'Baukosten-MUL'!AA45+'Baukosten-MUF'!AA45+'Baukosten-TBM'!AA45,"")</f>
        <v/>
      </c>
    </row>
    <row r="6" spans="1:16" ht="14.25" customHeight="1">
      <c r="A6" s="812" t="s">
        <v>166</v>
      </c>
      <c r="B6" s="465">
        <f>ROUND(IF(B$3&lt;&gt;"",'Baukosten-SM'!J46+'Baukosten-SPV'!J46+'Baukosten-MUL'!J46+'Baukosten-MUF'!J46+'Baukosten-TBM'!J46,""),)</f>
        <v>0</v>
      </c>
      <c r="C6" s="465" t="str">
        <f>IF(C$3&lt;&gt;"",'Baukosten-SM'!M46+'Baukosten-SPV'!M46+'Baukosten-MUL'!M46+'Baukosten-MUF'!M46+'Baukosten-TBM'!M46,"")</f>
        <v/>
      </c>
      <c r="D6" s="465" t="str">
        <f>IF(D$3&lt;&gt;"",'Baukosten-SM'!P46+'Baukosten-SPV'!P46+'Baukosten-MUL'!P46+'Baukosten-MUF'!P46+'Baukosten-TBM'!P46,"")</f>
        <v/>
      </c>
      <c r="E6" s="465" t="str">
        <f>IF(E$3&lt;&gt;"",'Baukosten-SM'!S46+'Baukosten-SPV'!S46+'Baukosten-MUL'!S46+'Baukosten-MUF'!S46+'Baukosten-TBM'!S46,"")</f>
        <v/>
      </c>
      <c r="F6" s="465" t="str">
        <f>IF(F$3&lt;&gt;"",'Baukosten-SM'!V46+'Baukosten-SPV'!V46+'Baukosten-MUL'!V46+'Baukosten-MUF'!V46+'Baukosten-TBM'!V46,"")</f>
        <v/>
      </c>
      <c r="G6" s="465" t="str">
        <f>IF(G$3&lt;&gt;"",'Baukosten-SM'!Y46+'Baukosten-SPV'!Y46+'Baukosten-MUL'!Y46+'Baukosten-MUF'!Y46+'Baukosten-TBM'!Y46,"")</f>
        <v/>
      </c>
      <c r="H6" s="469">
        <f>SUM(B6:G6)*AnzahlRöhren</f>
        <v>0</v>
      </c>
      <c r="K6" s="462" t="str">
        <f>IF(K5&lt;&gt;"",'Baukosten-SM'!V46+'Baukosten-SPV'!V46+'Baukosten-MUL'!V46+'Baukosten-MUF'!V46+'Baukosten-TBM'!V46,"")</f>
        <v/>
      </c>
      <c r="L6" s="462" t="str">
        <f>IF(L5&lt;&gt;"",'Baukosten-SM'!W46+'Baukosten-SPV'!W46+'Baukosten-MUL'!W46+'Baukosten-MUF'!W46+'Baukosten-TBM'!W46,"")</f>
        <v/>
      </c>
      <c r="M6" s="462" t="str">
        <f>IF(M5&lt;&gt;"",'Baukosten-SM'!X46+'Baukosten-SPV'!X46+'Baukosten-MUL'!X46+'Baukosten-MUF'!X46+'Baukosten-TBM'!X46,"")</f>
        <v/>
      </c>
      <c r="N6" s="462" t="str">
        <f>IF(N5&lt;&gt;"",'Baukosten-SM'!Y46+'Baukosten-SPV'!Y46+'Baukosten-MUL'!Y46+'Baukosten-MUF'!Y46+'Baukosten-TBM'!Y46,"")</f>
        <v/>
      </c>
      <c r="O6" s="462" t="str">
        <f>IF(O5&lt;&gt;"",'Baukosten-SM'!Z46+'Baukosten-SPV'!Z46+'Baukosten-MUL'!Z46+'Baukosten-MUF'!Z46+'Baukosten-TBM'!Z46,"")</f>
        <v/>
      </c>
      <c r="P6" s="462" t="str">
        <f>IF(P5&lt;&gt;"",'Baukosten-SM'!AA46+'Baukosten-SPV'!AA46+'Baukosten-MUL'!AA46+'Baukosten-MUF'!AA46+'Baukosten-TBM'!AA46,"")</f>
        <v/>
      </c>
    </row>
    <row r="7" spans="1:16" ht="14.25" customHeight="1">
      <c r="A7" s="812" t="s">
        <v>168</v>
      </c>
      <c r="B7" s="465">
        <f>ROUND(IF(B$3&lt;&gt;"",'Baukosten-SM'!J47+'Baukosten-SPV'!J47+'Baukosten-MUL'!J47+'Baukosten-MUF'!J47+'Baukosten-TBM'!J47,""),)</f>
        <v>0</v>
      </c>
      <c r="C7" s="465" t="str">
        <f>IF(C$3&lt;&gt;"",'Baukosten-SM'!M47+'Baukosten-SPV'!M47+'Baukosten-MUL'!M47+'Baukosten-MUF'!M47+'Baukosten-TBM'!M47,"")</f>
        <v/>
      </c>
      <c r="D7" s="465" t="str">
        <f>IF(D$3&lt;&gt;"",'Baukosten-SM'!P47+'Baukosten-SPV'!P47+'Baukosten-MUL'!P47+'Baukosten-MUF'!P47+'Baukosten-TBM'!P47,"")</f>
        <v/>
      </c>
      <c r="E7" s="465" t="str">
        <f>IF(E$3&lt;&gt;"",'Baukosten-SM'!S47+'Baukosten-SPV'!S47+'Baukosten-MUL'!S47+'Baukosten-MUF'!S47+'Baukosten-TBM'!S47,"")</f>
        <v/>
      </c>
      <c r="F7" s="465" t="str">
        <f>IF(F$3&lt;&gt;"",'Baukosten-SM'!V47+'Baukosten-SPV'!V47+'Baukosten-MUL'!V47+'Baukosten-MUF'!V47+'Baukosten-TBM'!V47,"")</f>
        <v/>
      </c>
      <c r="G7" s="465" t="str">
        <f>IF(G$3&lt;&gt;"",'Baukosten-SM'!Y47+'Baukosten-SPV'!Y47+'Baukosten-MUL'!Y47+'Baukosten-MUF'!Y47+'Baukosten-TBM'!Y47,"")</f>
        <v/>
      </c>
      <c r="H7" s="469">
        <f>SUM(B7:G7)*AnzahlRöhren</f>
        <v>0</v>
      </c>
      <c r="K7" s="462" t="str">
        <f>IF(K6&lt;&gt;"",'Baukosten-SM'!V47+'Baukosten-SPV'!V47+'Baukosten-MUL'!V47+'Baukosten-MUF'!V47+'Baukosten-TBM'!V47,"")</f>
        <v/>
      </c>
      <c r="L7" s="462" t="str">
        <f>IF(L6&lt;&gt;"",'Baukosten-SM'!W47+'Baukosten-SPV'!W47+'Baukosten-MUL'!W47+'Baukosten-MUF'!W47+'Baukosten-TBM'!W47,"")</f>
        <v/>
      </c>
      <c r="M7" s="462" t="str">
        <f>IF(M6&lt;&gt;"",'Baukosten-SM'!X47+'Baukosten-SPV'!X47+'Baukosten-MUL'!X47+'Baukosten-MUF'!X47+'Baukosten-TBM'!X47,"")</f>
        <v/>
      </c>
      <c r="N7" s="462" t="str">
        <f>IF(N6&lt;&gt;"",'Baukosten-SM'!Y47+'Baukosten-SPV'!Y47+'Baukosten-MUL'!Y47+'Baukosten-MUF'!Y47+'Baukosten-TBM'!Y47,"")</f>
        <v/>
      </c>
      <c r="O7" s="462" t="str">
        <f>IF(O6&lt;&gt;"",'Baukosten-SM'!Z47+'Baukosten-SPV'!Z47+'Baukosten-MUL'!Z47+'Baukosten-MUF'!Z47+'Baukosten-TBM'!Z47,"")</f>
        <v/>
      </c>
      <c r="P7" s="462" t="str">
        <f>IF(P6&lt;&gt;"",'Baukosten-SM'!AA47+'Baukosten-SPV'!AA47+'Baukosten-MUL'!AA47+'Baukosten-MUF'!AA47+'Baukosten-TBM'!AA47,"")</f>
        <v/>
      </c>
    </row>
    <row r="8" spans="1:16" ht="14.25" customHeight="1">
      <c r="A8" s="812" t="s">
        <v>497</v>
      </c>
      <c r="B8" s="465">
        <f>ROUND(IF(B$3&lt;&gt;"",'Baukosten-SM'!J48+'Baukosten-SPV'!J48+'Baukosten-MUL'!J48+'Baukosten-MUF'!J48+'Baukosten-TBM'!J48,""),)</f>
        <v>0</v>
      </c>
      <c r="C8" s="465" t="str">
        <f>IF(C$3&lt;&gt;"",'Baukosten-SM'!M48+'Baukosten-SPV'!M48+'Baukosten-MUL'!M48+'Baukosten-MUF'!M48+'Baukosten-TBM'!M48,"")</f>
        <v/>
      </c>
      <c r="D8" s="465" t="str">
        <f>IF(D$3&lt;&gt;"",'Baukosten-SM'!P48+'Baukosten-SPV'!P48+'Baukosten-MUL'!P48+'Baukosten-MUF'!P48+'Baukosten-TBM'!P48,"")</f>
        <v/>
      </c>
      <c r="E8" s="465" t="str">
        <f>IF(E$3&lt;&gt;"",'Baukosten-SM'!S48+'Baukosten-SPV'!S48+'Baukosten-MUL'!S48+'Baukosten-MUF'!S48+'Baukosten-TBM'!S48,"")</f>
        <v/>
      </c>
      <c r="F8" s="465" t="str">
        <f>IF(F$3&lt;&gt;"",'Baukosten-SM'!V48+'Baukosten-SPV'!V48+'Baukosten-MUL'!V48+'Baukosten-MUF'!V48+'Baukosten-TBM'!V48,"")</f>
        <v/>
      </c>
      <c r="G8" s="465" t="str">
        <f>IF(G$3&lt;&gt;"",'Baukosten-SM'!Y48+'Baukosten-SPV'!Y48+'Baukosten-MUL'!Y48+'Baukosten-MUF'!Y48+'Baukosten-TBM'!Y48,"")</f>
        <v/>
      </c>
      <c r="H8" s="469">
        <f>SUM(B8:G8)*AnzahlRöhren</f>
        <v>0</v>
      </c>
      <c r="K8" s="462" t="str">
        <f>IF(K7&lt;&gt;"",'Baukosten-SM'!V48+'Baukosten-SPV'!V48+'Baukosten-MUL'!V48+'Baukosten-MUF'!V48+'Baukosten-TBM'!V48,"")</f>
        <v/>
      </c>
      <c r="L8" s="462" t="str">
        <f>IF(L7&lt;&gt;"",'Baukosten-SM'!W48+'Baukosten-SPV'!W48+'Baukosten-MUL'!W48+'Baukosten-MUF'!W48+'Baukosten-TBM'!W48,"")</f>
        <v/>
      </c>
      <c r="M8" s="462" t="str">
        <f>IF(M7&lt;&gt;"",'Baukosten-SM'!X48+'Baukosten-SPV'!X48+'Baukosten-MUL'!X48+'Baukosten-MUF'!X48+'Baukosten-TBM'!X48,"")</f>
        <v/>
      </c>
      <c r="N8" s="462" t="str">
        <f>IF(N7&lt;&gt;"",'Baukosten-SM'!Y48+'Baukosten-SPV'!Y48+'Baukosten-MUL'!Y48+'Baukosten-MUF'!Y48+'Baukosten-TBM'!Y48,"")</f>
        <v/>
      </c>
      <c r="O8" s="462" t="str">
        <f>IF(O7&lt;&gt;"",'Baukosten-SM'!Z48+'Baukosten-SPV'!Z48+'Baukosten-MUL'!Z48+'Baukosten-MUF'!Z48+'Baukosten-TBM'!Z48,"")</f>
        <v/>
      </c>
      <c r="P8" s="462" t="str">
        <f>IF(P7&lt;&gt;"",'Baukosten-SM'!AA48+'Baukosten-SPV'!AA48+'Baukosten-MUL'!AA48+'Baukosten-MUF'!AA48+'Baukosten-TBM'!AA48,"")</f>
        <v/>
      </c>
    </row>
    <row r="9" spans="1:16" ht="14.25" customHeight="1">
      <c r="A9" s="813" t="s">
        <v>104</v>
      </c>
      <c r="B9" s="466">
        <f>ROUND(IF(B$3&lt;&gt;"",'Baukosten-SM'!J49+'Baukosten-SPV'!J49+'Baukosten-MUL'!J49+'Baukosten-MUF'!J49+'Baukosten-TBM'!J49,""),)</f>
        <v>0</v>
      </c>
      <c r="C9" s="466" t="str">
        <f>IF(C$3&lt;&gt;"",'Baukosten-SM'!M49+'Baukosten-SPV'!M49+'Baukosten-MUL'!M49+'Baukosten-MUF'!M49+'Baukosten-TBM'!M49,"")</f>
        <v/>
      </c>
      <c r="D9" s="466" t="str">
        <f>IF(D$3&lt;&gt;"",'Baukosten-SM'!P49+'Baukosten-SPV'!P49+'Baukosten-MUL'!P49+'Baukosten-MUF'!P49+'Baukosten-TBM'!P49,"")</f>
        <v/>
      </c>
      <c r="E9" s="466" t="str">
        <f>IF(E$3&lt;&gt;"",'Baukosten-SM'!S49+'Baukosten-SPV'!S49+'Baukosten-MUL'!S49+'Baukosten-MUF'!S49+'Baukosten-TBM'!S49,"")</f>
        <v/>
      </c>
      <c r="F9" s="466" t="str">
        <f>IF(F$3&lt;&gt;"",'Baukosten-SM'!V49+'Baukosten-SPV'!V49+'Baukosten-MUL'!V49+'Baukosten-MUF'!V49+'Baukosten-TBM'!V49,"")</f>
        <v/>
      </c>
      <c r="G9" s="466" t="str">
        <f>IF(G$3&lt;&gt;"",'Baukosten-SM'!Y49+'Baukosten-SPV'!Y49+'Baukosten-MUL'!Y49+'Baukosten-MUF'!Y49+'Baukosten-TBM'!Y49,"")</f>
        <v/>
      </c>
      <c r="H9" s="470">
        <f>SUM(B9:G9)*AnzahlRöhren</f>
        <v>0</v>
      </c>
    </row>
  </sheetData>
  <sheetProtection algorithmName="SHA-512" hashValue="FAwtvQBI1/a+Jqgr8f7k+j6fmrkfXh0WTlOwimibgXENBH5i/RJGIQm2niAVILAnSNCNuwLr39GzSoHoHWKurA==" saltValue="5XoU1Nl3PWBe4F8nHLQZIQ==" spinCount="100000" sheet="1" objects="1" scenarios="1"/>
  <mergeCells count="1">
    <mergeCell ref="A1:C1"/>
  </mergeCells>
  <pageMargins left="0.7" right="0.7" top="0.78740157499999996" bottom="0.78740157499999996" header="0.3" footer="0.3"/>
  <pageSetup paperSize="9" orientation="portrait" horizontalDpi="30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EBBD4-FB91-4CB7-8FC8-8389C3F66A39}">
  <sheetPr>
    <tabColor theme="8" tint="0.79998168889431442"/>
  </sheetPr>
  <dimension ref="A1:AG185"/>
  <sheetViews>
    <sheetView workbookViewId="0">
      <pane ySplit="1" topLeftCell="A2" activePane="bottomLeft" state="frozen"/>
      <selection pane="bottomLeft" sqref="A1:C1"/>
    </sheetView>
  </sheetViews>
  <sheetFormatPr baseColWidth="10" defaultColWidth="11.42578125" defaultRowHeight="14.25" customHeight="1"/>
  <cols>
    <col min="1" max="1" width="20.7109375" style="5" bestFit="1" customWidth="1"/>
    <col min="2" max="2" width="30.7109375" style="5" bestFit="1" customWidth="1"/>
    <col min="3" max="3" width="7.85546875" style="5" customWidth="1"/>
    <col min="4" max="4" width="7.7109375" style="5" bestFit="1" customWidth="1"/>
    <col min="5" max="5" width="15.28515625" style="5" customWidth="1"/>
    <col min="6" max="6" width="20.5703125" style="5" customWidth="1"/>
    <col min="7" max="7" width="3.5703125" style="6" bestFit="1" customWidth="1"/>
    <col min="8" max="8" width="15" style="5" bestFit="1" customWidth="1"/>
    <col min="9" max="9" width="1.5703125" style="5" customWidth="1"/>
    <col min="10" max="10" width="14.7109375" style="5" customWidth="1"/>
    <col min="11" max="11" width="18.7109375" style="5" customWidth="1"/>
    <col min="12" max="12" width="11.7109375" style="5" customWidth="1"/>
    <col min="13" max="13" width="14.7109375" style="5" customWidth="1"/>
    <col min="14" max="14" width="18.7109375" style="5" customWidth="1"/>
    <col min="15" max="15" width="11.7109375" style="5" customWidth="1"/>
    <col min="16" max="16" width="14.7109375" style="5" customWidth="1"/>
    <col min="17" max="17" width="18.7109375" style="5" customWidth="1"/>
    <col min="18" max="18" width="11.7109375" style="5" customWidth="1"/>
    <col min="19" max="19" width="14.7109375" style="5" customWidth="1"/>
    <col min="20" max="20" width="18.7109375" style="5" customWidth="1"/>
    <col min="21" max="21" width="11.7109375" style="5" customWidth="1"/>
    <col min="22" max="22" width="14.7109375" style="5" customWidth="1"/>
    <col min="23" max="23" width="18.7109375" style="5" customWidth="1"/>
    <col min="24" max="24" width="11.7109375" style="5" customWidth="1"/>
    <col min="25" max="25" width="14.7109375" style="5" customWidth="1"/>
    <col min="26" max="26" width="18.7109375" style="5" customWidth="1"/>
    <col min="27" max="27" width="11.7109375" style="5" customWidth="1"/>
    <col min="28" max="16384" width="11.42578125" style="5"/>
  </cols>
  <sheetData>
    <row r="1" spans="1:28" ht="14.25" customHeight="1">
      <c r="A1" s="1025" t="s">
        <v>221</v>
      </c>
      <c r="B1" s="1025"/>
      <c r="C1" s="1025"/>
      <c r="J1" s="1046" t="s">
        <v>46</v>
      </c>
      <c r="K1" s="1047"/>
      <c r="L1" s="1047"/>
      <c r="M1" s="1046" t="s">
        <v>498</v>
      </c>
      <c r="N1" s="1047"/>
      <c r="O1" s="1047"/>
      <c r="P1" s="1046" t="s">
        <v>499</v>
      </c>
      <c r="Q1" s="1047"/>
      <c r="R1" s="1047"/>
      <c r="S1" s="1046" t="s">
        <v>500</v>
      </c>
      <c r="T1" s="1047"/>
      <c r="U1" s="1047"/>
      <c r="V1" s="1046" t="s">
        <v>501</v>
      </c>
      <c r="W1" s="1047"/>
      <c r="X1" s="1047"/>
      <c r="Y1" s="1046" t="s">
        <v>502</v>
      </c>
      <c r="Z1" s="1047"/>
      <c r="AA1" s="1048"/>
      <c r="AB1" s="10"/>
    </row>
    <row r="2" spans="1:28" ht="8.25" customHeight="1">
      <c r="E2" s="55"/>
      <c r="F2" s="50"/>
      <c r="G2" s="53"/>
      <c r="H2" s="6"/>
      <c r="J2" s="1111"/>
      <c r="K2" s="975"/>
      <c r="L2" s="1112"/>
      <c r="M2" s="1111"/>
      <c r="N2" s="975"/>
      <c r="O2" s="975"/>
      <c r="P2" s="1111"/>
      <c r="Q2" s="975"/>
      <c r="R2" s="975"/>
      <c r="S2" s="1111"/>
      <c r="T2" s="975"/>
      <c r="U2" s="975"/>
      <c r="V2" s="1111"/>
      <c r="W2" s="975"/>
      <c r="X2" s="975"/>
      <c r="Y2" s="1111"/>
      <c r="Z2" s="975"/>
      <c r="AA2" s="1112"/>
      <c r="AB2" s="10"/>
    </row>
    <row r="3" spans="1:28" ht="14.25" customHeight="1">
      <c r="F3" s="420" t="s">
        <v>55</v>
      </c>
      <c r="G3" s="421"/>
      <c r="H3" s="889" t="s">
        <v>5</v>
      </c>
      <c r="I3" s="889"/>
      <c r="J3" s="1052">
        <f>IF(Tunneldaten!E12="","",Tunneldaten!E14)</f>
        <v>0</v>
      </c>
      <c r="K3" s="1053"/>
      <c r="L3" s="1053"/>
      <c r="M3" s="1052" t="str">
        <f>IF(Tunneldaten!F12="","",Tunneldaten!F14)</f>
        <v/>
      </c>
      <c r="N3" s="1053"/>
      <c r="O3" s="1053"/>
      <c r="P3" s="1052" t="str">
        <f>IF(Tunneldaten!G12="","",Tunneldaten!G14)</f>
        <v/>
      </c>
      <c r="Q3" s="1053"/>
      <c r="R3" s="1053"/>
      <c r="S3" s="1052" t="str">
        <f>IF(Tunneldaten!H12="","",Tunneldaten!H14)</f>
        <v/>
      </c>
      <c r="T3" s="1053"/>
      <c r="U3" s="1053"/>
      <c r="V3" s="1052" t="str">
        <f>IF(Tunneldaten!I12="","",Tunneldaten!I14)</f>
        <v/>
      </c>
      <c r="W3" s="1053"/>
      <c r="X3" s="1053"/>
      <c r="Y3" s="1052" t="str">
        <f>IF(Tunneldaten!J12="","",Tunneldaten!J14)</f>
        <v/>
      </c>
      <c r="Z3" s="1053"/>
      <c r="AA3" s="1054"/>
      <c r="AB3" s="10"/>
    </row>
    <row r="4" spans="1:28" ht="14.25" customHeight="1">
      <c r="F4" s="267" t="s">
        <v>503</v>
      </c>
      <c r="G4" s="268"/>
      <c r="H4" s="269" t="s">
        <v>5</v>
      </c>
      <c r="I4" s="269"/>
      <c r="J4" s="1055" t="str">
        <f>IF(J3="SM",Tunneldaten!$E$15,"")</f>
        <v/>
      </c>
      <c r="K4" s="1056"/>
      <c r="L4" s="1057"/>
      <c r="M4" s="1055" t="str">
        <f>IF(M3="SM",Tunneldaten!$F$15,"")</f>
        <v/>
      </c>
      <c r="N4" s="1056"/>
      <c r="O4" s="1057"/>
      <c r="P4" s="1055" t="str">
        <f>IF(P3="SM",Tunneldaten!$G$15,"")</f>
        <v/>
      </c>
      <c r="Q4" s="1056"/>
      <c r="R4" s="1057"/>
      <c r="S4" s="1055" t="str">
        <f>IF(S3="SM",Tunneldaten!$H$15,"")</f>
        <v/>
      </c>
      <c r="T4" s="1056"/>
      <c r="U4" s="1057"/>
      <c r="V4" s="1055" t="str">
        <f>IF(V3="SM",Tunneldaten!$I$15,"")</f>
        <v/>
      </c>
      <c r="W4" s="1056"/>
      <c r="X4" s="1057"/>
      <c r="Y4" s="1055" t="str">
        <f>IF(Y3="SM",Tunneldaten!$J$15,"")</f>
        <v/>
      </c>
      <c r="Z4" s="1056"/>
      <c r="AA4" s="1057"/>
      <c r="AB4" s="10"/>
    </row>
    <row r="5" spans="1:28" ht="14.25" customHeight="1">
      <c r="F5" s="422" t="s">
        <v>457</v>
      </c>
      <c r="G5" s="423"/>
      <c r="H5" s="142" t="s">
        <v>62</v>
      </c>
      <c r="I5" s="896"/>
      <c r="J5" s="1049" t="str">
        <f>IF(J$3&lt;&gt;$A$1,"",'Bau-Geometrie'!C25)</f>
        <v/>
      </c>
      <c r="K5" s="1050"/>
      <c r="L5" s="1050"/>
      <c r="M5" s="1049" t="str">
        <f>IF(M$3&lt;&gt;$A$1,"",'Bau-Geometrie'!D25)</f>
        <v/>
      </c>
      <c r="N5" s="1050"/>
      <c r="O5" s="1050"/>
      <c r="P5" s="1049" t="str">
        <f>IF(P$3&lt;&gt;$A$1,"",'Bau-Geometrie'!E25)</f>
        <v/>
      </c>
      <c r="Q5" s="1050"/>
      <c r="R5" s="1050"/>
      <c r="S5" s="1049" t="str">
        <f>IF(S$3&lt;&gt;$A$1,"",'Bau-Geometrie'!F25)</f>
        <v/>
      </c>
      <c r="T5" s="1050"/>
      <c r="U5" s="1050"/>
      <c r="V5" s="1049" t="str">
        <f>IF(V$3&lt;&gt;$A$1,"",'Bau-Geometrie'!G25)</f>
        <v/>
      </c>
      <c r="W5" s="1050"/>
      <c r="X5" s="1050"/>
      <c r="Y5" s="1049" t="str">
        <f>IF(Y$3&lt;&gt;$A$1,"",'Bau-Geometrie'!H25)</f>
        <v/>
      </c>
      <c r="Z5" s="1050"/>
      <c r="AA5" s="1051"/>
      <c r="AB5" s="10"/>
    </row>
    <row r="6" spans="1:28" ht="14.25" customHeight="1">
      <c r="F6" s="424" t="s">
        <v>458</v>
      </c>
      <c r="G6" s="425"/>
      <c r="H6" s="139" t="s">
        <v>62</v>
      </c>
      <c r="I6" s="426"/>
      <c r="J6" s="1061" t="str">
        <f>IF(J$3&lt;&gt;$A$1,"",'Bau-Geometrie'!C26)</f>
        <v/>
      </c>
      <c r="K6" s="1062"/>
      <c r="L6" s="1062"/>
      <c r="M6" s="1061" t="str">
        <f>IF(M$3&lt;&gt;$A$1,"",'Bau-Geometrie'!D26)</f>
        <v/>
      </c>
      <c r="N6" s="1062"/>
      <c r="O6" s="1062"/>
      <c r="P6" s="1061" t="str">
        <f>IF(P$3&lt;&gt;$A$1,"",'Bau-Geometrie'!E26)</f>
        <v/>
      </c>
      <c r="Q6" s="1062"/>
      <c r="R6" s="1062"/>
      <c r="S6" s="1061" t="str">
        <f>IF(S$3&lt;&gt;$A$1,"",'Bau-Geometrie'!F26)</f>
        <v/>
      </c>
      <c r="T6" s="1062"/>
      <c r="U6" s="1062"/>
      <c r="V6" s="1061" t="str">
        <f>IF(V$3&lt;&gt;$A$1,"",'Bau-Geometrie'!G26)</f>
        <v/>
      </c>
      <c r="W6" s="1062"/>
      <c r="X6" s="1062"/>
      <c r="Y6" s="1061" t="str">
        <f>IF(Y$3&lt;&gt;$A$1,"",'Bau-Geometrie'!H26)</f>
        <v/>
      </c>
      <c r="Z6" s="1062"/>
      <c r="AA6" s="1063"/>
      <c r="AB6" s="10"/>
    </row>
    <row r="7" spans="1:28" ht="14.25" customHeight="1">
      <c r="F7" s="427" t="s">
        <v>459</v>
      </c>
      <c r="G7" s="428"/>
      <c r="H7" s="131" t="s">
        <v>62</v>
      </c>
      <c r="I7" s="429"/>
      <c r="J7" s="1058" t="str">
        <f>IF(J$3&lt;&gt;$A$1,"",'Bau-Geometrie'!C27)</f>
        <v/>
      </c>
      <c r="K7" s="1059"/>
      <c r="L7" s="1059"/>
      <c r="M7" s="1058" t="str">
        <f>IF(M$3&lt;&gt;$A$1,"",'Bau-Geometrie'!D27)</f>
        <v/>
      </c>
      <c r="N7" s="1059"/>
      <c r="O7" s="1059"/>
      <c r="P7" s="1058" t="str">
        <f>IF(P$3&lt;&gt;$A$1,"",'Bau-Geometrie'!E27)</f>
        <v/>
      </c>
      <c r="Q7" s="1059"/>
      <c r="R7" s="1059"/>
      <c r="S7" s="1058" t="str">
        <f>IF(S$3&lt;&gt;$A$1,"",'Bau-Geometrie'!F27)</f>
        <v/>
      </c>
      <c r="T7" s="1059"/>
      <c r="U7" s="1059"/>
      <c r="V7" s="1058" t="str">
        <f>IF(V$3&lt;&gt;$A$1,"",'Bau-Geometrie'!G27)</f>
        <v/>
      </c>
      <c r="W7" s="1059"/>
      <c r="X7" s="1059"/>
      <c r="Y7" s="1058" t="str">
        <f>IF(Y$3&lt;&gt;$A$1,"",'Bau-Geometrie'!H27)</f>
        <v/>
      </c>
      <c r="Z7" s="1059"/>
      <c r="AA7" s="1060"/>
      <c r="AB7" s="10"/>
    </row>
    <row r="8" spans="1:28" ht="14.25" customHeight="1">
      <c r="B8" s="147"/>
      <c r="F8" s="430" t="s">
        <v>460</v>
      </c>
      <c r="G8" s="431"/>
      <c r="H8" s="132" t="s">
        <v>461</v>
      </c>
      <c r="I8" s="432"/>
      <c r="J8" s="1067" t="str">
        <f>IF(J$3&lt;&gt;$A$1,"",'Bau-Geometrie'!C28)</f>
        <v/>
      </c>
      <c r="K8" s="1068"/>
      <c r="L8" s="1068"/>
      <c r="M8" s="1067" t="str">
        <f>IF(M$3&lt;&gt;$A$1,"",'Bau-Geometrie'!D28)</f>
        <v/>
      </c>
      <c r="N8" s="1068"/>
      <c r="O8" s="1068"/>
      <c r="P8" s="1067" t="str">
        <f>IF(P$3&lt;&gt;$A$1,"",'Bau-Geometrie'!E28)</f>
        <v/>
      </c>
      <c r="Q8" s="1068"/>
      <c r="R8" s="1068"/>
      <c r="S8" s="1067" t="str">
        <f>IF(S$3&lt;&gt;$A$1,"",'Bau-Geometrie'!F28)</f>
        <v/>
      </c>
      <c r="T8" s="1068"/>
      <c r="U8" s="1068"/>
      <c r="V8" s="1067" t="str">
        <f>IF(V$3&lt;&gt;$A$1,"",'Bau-Geometrie'!G28)</f>
        <v/>
      </c>
      <c r="W8" s="1068"/>
      <c r="X8" s="1068"/>
      <c r="Y8" s="1067" t="str">
        <f>IF(Y$3&lt;&gt;$A$1,"",'Bau-Geometrie'!H28)</f>
        <v/>
      </c>
      <c r="Z8" s="1068"/>
      <c r="AA8" s="1069"/>
      <c r="AB8" s="10"/>
    </row>
    <row r="9" spans="1:28" ht="14.25" customHeight="1">
      <c r="B9" s="147"/>
      <c r="F9" s="433" t="s">
        <v>53</v>
      </c>
      <c r="G9" s="434"/>
      <c r="H9" s="140" t="s">
        <v>54</v>
      </c>
      <c r="I9" s="434"/>
      <c r="J9" s="1064" t="str">
        <f>IF(J$3&lt;&gt;$A$1,"",'Bau-Geometrie'!C17)</f>
        <v/>
      </c>
      <c r="K9" s="1065"/>
      <c r="L9" s="1065"/>
      <c r="M9" s="1064" t="str">
        <f>IF(M$3&lt;&gt;$A$1,"",'Bau-Geometrie'!D17)</f>
        <v/>
      </c>
      <c r="N9" s="1065"/>
      <c r="O9" s="1065"/>
      <c r="P9" s="1064" t="str">
        <f>IF(P$3&lt;&gt;$A$1,"",'Bau-Geometrie'!E17)</f>
        <v/>
      </c>
      <c r="Q9" s="1065"/>
      <c r="R9" s="1065"/>
      <c r="S9" s="1064" t="str">
        <f>IF(S$3&lt;&gt;$A$1,"",'Bau-Geometrie'!F17)</f>
        <v/>
      </c>
      <c r="T9" s="1065"/>
      <c r="U9" s="1065"/>
      <c r="V9" s="1064" t="str">
        <f>IF(V$3&lt;&gt;$A$1,"",'Bau-Geometrie'!G17)</f>
        <v/>
      </c>
      <c r="W9" s="1065"/>
      <c r="X9" s="1065"/>
      <c r="Y9" s="1064" t="str">
        <f>IF(Y$3&lt;&gt;$A$1,"",'Bau-Geometrie'!H17)</f>
        <v/>
      </c>
      <c r="Z9" s="1065"/>
      <c r="AA9" s="1066"/>
      <c r="AB9" s="10"/>
    </row>
    <row r="10" spans="1:28" ht="14.25" customHeight="1">
      <c r="B10" s="147"/>
      <c r="F10" s="427" t="s">
        <v>57</v>
      </c>
      <c r="G10" s="429"/>
      <c r="H10" s="131" t="s">
        <v>54</v>
      </c>
      <c r="I10" s="429"/>
      <c r="J10" s="1070" t="str">
        <f>IF(J$3&lt;&gt;$A$1,"",'Bau-Geometrie'!C18)</f>
        <v/>
      </c>
      <c r="K10" s="1071"/>
      <c r="L10" s="1071"/>
      <c r="M10" s="1070" t="str">
        <f>IF(M$3&lt;&gt;$A$1,"",'Bau-Geometrie'!D18)</f>
        <v/>
      </c>
      <c r="N10" s="1071"/>
      <c r="O10" s="1071"/>
      <c r="P10" s="1070" t="str">
        <f>IF(P$3&lt;&gt;$A$1,"",'Bau-Geometrie'!E18)</f>
        <v/>
      </c>
      <c r="Q10" s="1071"/>
      <c r="R10" s="1071"/>
      <c r="S10" s="1070" t="str">
        <f>IF(S$3&lt;&gt;$A$1,"",'Bau-Geometrie'!F18)</f>
        <v/>
      </c>
      <c r="T10" s="1071"/>
      <c r="U10" s="1071"/>
      <c r="V10" s="1070" t="str">
        <f>IF(V$3&lt;&gt;$A$1,"",'Bau-Geometrie'!G18)</f>
        <v/>
      </c>
      <c r="W10" s="1071"/>
      <c r="X10" s="1071"/>
      <c r="Y10" s="1070" t="str">
        <f>IF(Y$3&lt;&gt;$A$1,"",'Bau-Geometrie'!H18)</f>
        <v/>
      </c>
      <c r="Z10" s="1071"/>
      <c r="AA10" s="1072"/>
      <c r="AB10" s="10"/>
    </row>
    <row r="11" spans="1:28" ht="14.25" customHeight="1">
      <c r="B11" s="147"/>
      <c r="F11" s="427" t="s">
        <v>60</v>
      </c>
      <c r="G11" s="429"/>
      <c r="H11" s="131" t="s">
        <v>54</v>
      </c>
      <c r="I11" s="435"/>
      <c r="J11" s="1070" t="str">
        <f>IF(J$3&lt;&gt;$A$1,"",'Bau-Geometrie'!C19)</f>
        <v/>
      </c>
      <c r="K11" s="1071"/>
      <c r="L11" s="1071"/>
      <c r="M11" s="1070" t="str">
        <f>IF(M$3&lt;&gt;$A$1,"",'Bau-Geometrie'!D19)</f>
        <v/>
      </c>
      <c r="N11" s="1071"/>
      <c r="O11" s="1071"/>
      <c r="P11" s="1070" t="str">
        <f>IF(P$3&lt;&gt;$A$1,"",'Bau-Geometrie'!E19)</f>
        <v/>
      </c>
      <c r="Q11" s="1071"/>
      <c r="R11" s="1071"/>
      <c r="S11" s="1070" t="str">
        <f>IF(S$3&lt;&gt;$A$1,"",'Bau-Geometrie'!F19)</f>
        <v/>
      </c>
      <c r="T11" s="1071"/>
      <c r="U11" s="1071"/>
      <c r="V11" s="1070" t="str">
        <f>IF(V$3&lt;&gt;$A$1,"",'Bau-Geometrie'!G19)</f>
        <v/>
      </c>
      <c r="W11" s="1071"/>
      <c r="X11" s="1071"/>
      <c r="Y11" s="1070" t="str">
        <f>IF(Y$3&lt;&gt;$A$1,"",'Bau-Geometrie'!H19)</f>
        <v/>
      </c>
      <c r="Z11" s="1071"/>
      <c r="AA11" s="1072"/>
      <c r="AB11" s="10"/>
    </row>
    <row r="12" spans="1:28" ht="14.25" customHeight="1">
      <c r="B12" s="147"/>
      <c r="F12" s="427" t="s">
        <v>63</v>
      </c>
      <c r="G12" s="435"/>
      <c r="H12" s="131" t="s">
        <v>54</v>
      </c>
      <c r="I12" s="435"/>
      <c r="J12" s="1070" t="str">
        <f>IF(J$3&lt;&gt;$A$1,"",'Bau-Geometrie'!C20)</f>
        <v/>
      </c>
      <c r="K12" s="1071"/>
      <c r="L12" s="1071"/>
      <c r="M12" s="1070" t="str">
        <f>IF(M$3&lt;&gt;$A$1,"",'Bau-Geometrie'!D20)</f>
        <v/>
      </c>
      <c r="N12" s="1071"/>
      <c r="O12" s="1071"/>
      <c r="P12" s="1070" t="str">
        <f>IF(P$3&lt;&gt;$A$1,"",'Bau-Geometrie'!E20)</f>
        <v/>
      </c>
      <c r="Q12" s="1071"/>
      <c r="R12" s="1071"/>
      <c r="S12" s="1070" t="str">
        <f>IF(S$3&lt;&gt;$A$1,"",'Bau-Geometrie'!F20)</f>
        <v/>
      </c>
      <c r="T12" s="1071"/>
      <c r="U12" s="1071"/>
      <c r="V12" s="1070" t="str">
        <f>IF(V$3&lt;&gt;$A$1,"",'Bau-Geometrie'!G20)</f>
        <v/>
      </c>
      <c r="W12" s="1071"/>
      <c r="X12" s="1071"/>
      <c r="Y12" s="1070" t="str">
        <f>IF(Y$3&lt;&gt;$A$1,"",'Bau-Geometrie'!H20)</f>
        <v/>
      </c>
      <c r="Z12" s="1071"/>
      <c r="AA12" s="1072"/>
      <c r="AB12" s="10"/>
    </row>
    <row r="13" spans="1:28" ht="14.25" customHeight="1">
      <c r="B13" s="147"/>
      <c r="F13" s="427" t="s">
        <v>65</v>
      </c>
      <c r="G13" s="435"/>
      <c r="H13" s="131" t="s">
        <v>54</v>
      </c>
      <c r="I13" s="435"/>
      <c r="J13" s="1070" t="str">
        <f>IF(J$3&lt;&gt;$A$1,"",'Bau-Geometrie'!C21)</f>
        <v/>
      </c>
      <c r="K13" s="1071"/>
      <c r="L13" s="1071"/>
      <c r="M13" s="1070" t="str">
        <f>IF(M$3&lt;&gt;$A$1,"",'Bau-Geometrie'!D21)</f>
        <v/>
      </c>
      <c r="N13" s="1071"/>
      <c r="O13" s="1071"/>
      <c r="P13" s="1070" t="str">
        <f>IF(P$3&lt;&gt;$A$1,"",'Bau-Geometrie'!E21)</f>
        <v/>
      </c>
      <c r="Q13" s="1071"/>
      <c r="R13" s="1071"/>
      <c r="S13" s="1070" t="str">
        <f>IF(S$3&lt;&gt;$A$1,"",'Bau-Geometrie'!F21)</f>
        <v/>
      </c>
      <c r="T13" s="1071"/>
      <c r="U13" s="1071"/>
      <c r="V13" s="1070" t="str">
        <f>IF(V$3&lt;&gt;$A$1,"",'Bau-Geometrie'!G21)</f>
        <v/>
      </c>
      <c r="W13" s="1071"/>
      <c r="X13" s="1071"/>
      <c r="Y13" s="1070" t="str">
        <f>IF(Y$3&lt;&gt;$A$1,"",'Bau-Geometrie'!H21)</f>
        <v/>
      </c>
      <c r="Z13" s="1071"/>
      <c r="AA13" s="1072"/>
      <c r="AB13" s="10"/>
    </row>
    <row r="14" spans="1:28" s="147" customFormat="1" ht="14.25" customHeight="1">
      <c r="F14" s="148" t="s">
        <v>67</v>
      </c>
      <c r="G14" s="149"/>
      <c r="H14" s="150" t="s">
        <v>54</v>
      </c>
      <c r="I14" s="149"/>
      <c r="J14" s="1076" t="str">
        <f>IF(J$3&lt;&gt;$A$1,"",'Bau-Geometrie'!C22)</f>
        <v/>
      </c>
      <c r="K14" s="1077"/>
      <c r="L14" s="1077"/>
      <c r="M14" s="1076" t="str">
        <f>IF(M$3&lt;&gt;$A$1,"",'Bau-Geometrie'!D22)</f>
        <v/>
      </c>
      <c r="N14" s="1077"/>
      <c r="O14" s="1077"/>
      <c r="P14" s="1076" t="str">
        <f>IF(P$3&lt;&gt;$A$1,"",'Bau-Geometrie'!E22)</f>
        <v/>
      </c>
      <c r="Q14" s="1077"/>
      <c r="R14" s="1077"/>
      <c r="S14" s="1076" t="str">
        <f>IF(S$3&lt;&gt;$A$1,"",'Bau-Geometrie'!F22)</f>
        <v/>
      </c>
      <c r="T14" s="1077"/>
      <c r="U14" s="1077"/>
      <c r="V14" s="1076" t="str">
        <f>IF(V$3&lt;&gt;$A$1,"",'Bau-Geometrie'!G22)</f>
        <v/>
      </c>
      <c r="W14" s="1077"/>
      <c r="X14" s="1077"/>
      <c r="Y14" s="1076" t="str">
        <f>IF(Y$3&lt;&gt;$A$1,"",'Bau-Geometrie'!H22)</f>
        <v/>
      </c>
      <c r="Z14" s="1077"/>
      <c r="AA14" s="1078"/>
      <c r="AB14" s="151"/>
    </row>
    <row r="15" spans="1:28" s="147" customFormat="1" ht="14.25" customHeight="1">
      <c r="F15" s="152" t="s">
        <v>78</v>
      </c>
      <c r="G15" s="154"/>
      <c r="H15" s="153" t="s">
        <v>25</v>
      </c>
      <c r="I15" s="166"/>
      <c r="J15" s="1073" t="str">
        <f>IF(J$3&lt;&gt;$A$1,"",'Bau-Geometrie'!C29)</f>
        <v/>
      </c>
      <c r="K15" s="1074"/>
      <c r="L15" s="1074"/>
      <c r="M15" s="1073" t="str">
        <f>IF(M$3&lt;&gt;$A$1,"",'Bau-Geometrie'!D29)</f>
        <v/>
      </c>
      <c r="N15" s="1074"/>
      <c r="O15" s="1074"/>
      <c r="P15" s="1073" t="str">
        <f>IF(P$3&lt;&gt;$A$1,"",'Bau-Geometrie'!E29)</f>
        <v/>
      </c>
      <c r="Q15" s="1074"/>
      <c r="R15" s="1074"/>
      <c r="S15" s="1073" t="str">
        <f>IF(S$3&lt;&gt;$A$1,"",'Bau-Geometrie'!F29)</f>
        <v/>
      </c>
      <c r="T15" s="1074"/>
      <c r="U15" s="1074"/>
      <c r="V15" s="1073" t="str">
        <f>IF(V$3&lt;&gt;$A$1,"",'Bau-Geometrie'!G29)</f>
        <v/>
      </c>
      <c r="W15" s="1074"/>
      <c r="X15" s="1074"/>
      <c r="Y15" s="1073" t="str">
        <f>IF(Y$3&lt;&gt;$A$1,"",'Bau-Geometrie'!H29)</f>
        <v/>
      </c>
      <c r="Z15" s="1074"/>
      <c r="AA15" s="1075"/>
      <c r="AB15" s="151"/>
    </row>
    <row r="16" spans="1:28" s="147" customFormat="1" ht="14.25" customHeight="1">
      <c r="F16" s="156" t="s">
        <v>462</v>
      </c>
      <c r="G16" s="167"/>
      <c r="H16" s="157" t="s">
        <v>62</v>
      </c>
      <c r="I16" s="167"/>
      <c r="J16" s="1079" t="str">
        <f>IF(J$3&lt;&gt;$A$1,"",'Bau-Geometrie'!C30)</f>
        <v/>
      </c>
      <c r="K16" s="1080"/>
      <c r="L16" s="1080"/>
      <c r="M16" s="1079" t="str">
        <f>IF(M$3&lt;&gt;$A$1,"",'Bau-Geometrie'!D30)</f>
        <v/>
      </c>
      <c r="N16" s="1080"/>
      <c r="O16" s="1080"/>
      <c r="P16" s="1079" t="str">
        <f>IF(P$3&lt;&gt;$A$1,"",'Bau-Geometrie'!E30)</f>
        <v/>
      </c>
      <c r="Q16" s="1080"/>
      <c r="R16" s="1080"/>
      <c r="S16" s="1079" t="str">
        <f>IF(S$3&lt;&gt;$A$1,"",'Bau-Geometrie'!F30)</f>
        <v/>
      </c>
      <c r="T16" s="1080"/>
      <c r="U16" s="1080"/>
      <c r="V16" s="1079" t="str">
        <f>IF(V$3&lt;&gt;$A$1,"",'Bau-Geometrie'!G30)</f>
        <v/>
      </c>
      <c r="W16" s="1080"/>
      <c r="X16" s="1080"/>
      <c r="Y16" s="1079" t="str">
        <f>IF(Y$3&lt;&gt;$A$1,"",'Bau-Geometrie'!H30)</f>
        <v/>
      </c>
      <c r="Z16" s="1080"/>
      <c r="AA16" s="1081"/>
      <c r="AB16" s="151"/>
    </row>
    <row r="17" spans="6:28" s="147" customFormat="1" ht="14.25" customHeight="1">
      <c r="F17" s="160" t="s">
        <v>459</v>
      </c>
      <c r="G17" s="167"/>
      <c r="H17" s="157" t="s">
        <v>62</v>
      </c>
      <c r="I17" s="167"/>
      <c r="J17" s="1079" t="str">
        <f>IF(J$3&lt;&gt;$A$1,"",'Bau-Geometrie'!C31)</f>
        <v/>
      </c>
      <c r="K17" s="1080"/>
      <c r="L17" s="1080"/>
      <c r="M17" s="1079" t="str">
        <f>IF(M$3&lt;&gt;$A$1,"",'Bau-Geometrie'!D31)</f>
        <v/>
      </c>
      <c r="N17" s="1080"/>
      <c r="O17" s="1080"/>
      <c r="P17" s="1079" t="str">
        <f>IF(P$3&lt;&gt;$A$1,"",'Bau-Geometrie'!E31)</f>
        <v/>
      </c>
      <c r="Q17" s="1080"/>
      <c r="R17" s="1080"/>
      <c r="S17" s="1079" t="str">
        <f>IF(S$3&lt;&gt;$A$1,"",'Bau-Geometrie'!F31)</f>
        <v/>
      </c>
      <c r="T17" s="1080"/>
      <c r="U17" s="1080"/>
      <c r="V17" s="1079" t="str">
        <f>IF(V$3&lt;&gt;$A$1,"",'Bau-Geometrie'!G31)</f>
        <v/>
      </c>
      <c r="W17" s="1080"/>
      <c r="X17" s="1080"/>
      <c r="Y17" s="1079" t="str">
        <f>IF(Y$3&lt;&gt;$A$1,"",'Bau-Geometrie'!H31)</f>
        <v/>
      </c>
      <c r="Z17" s="1080"/>
      <c r="AA17" s="1081"/>
      <c r="AB17" s="151"/>
    </row>
    <row r="18" spans="6:28" s="147" customFormat="1" ht="14.25" customHeight="1">
      <c r="F18" s="161" t="s">
        <v>460</v>
      </c>
      <c r="G18" s="168"/>
      <c r="H18" s="162" t="s">
        <v>504</v>
      </c>
      <c r="I18" s="169"/>
      <c r="J18" s="1085" t="str">
        <f>IF(J$3&lt;&gt;$A$1,"",'Bau-Geometrie'!C32)</f>
        <v/>
      </c>
      <c r="K18" s="1086"/>
      <c r="L18" s="1086"/>
      <c r="M18" s="1085" t="str">
        <f>IF(M$3&lt;&gt;$A$1,"",'Bau-Geometrie'!D32)</f>
        <v/>
      </c>
      <c r="N18" s="1086"/>
      <c r="O18" s="1086"/>
      <c r="P18" s="1085" t="str">
        <f>IF(P$3&lt;&gt;$A$1,"",'Bau-Geometrie'!E32)</f>
        <v/>
      </c>
      <c r="Q18" s="1086"/>
      <c r="R18" s="1086"/>
      <c r="S18" s="1085" t="str">
        <f>IF(S$3&lt;&gt;$A$1,"",'Bau-Geometrie'!F32)</f>
        <v/>
      </c>
      <c r="T18" s="1086"/>
      <c r="U18" s="1086"/>
      <c r="V18" s="1085" t="str">
        <f>IF(V$3&lt;&gt;$A$1,"",'Bau-Geometrie'!G32)</f>
        <v/>
      </c>
      <c r="W18" s="1086"/>
      <c r="X18" s="1086"/>
      <c r="Y18" s="1085" t="str">
        <f>IF(Y$3&lt;&gt;$A$1,"",'Bau-Geometrie'!H32)</f>
        <v/>
      </c>
      <c r="Z18" s="1086"/>
      <c r="AA18" s="1087"/>
      <c r="AB18" s="151"/>
    </row>
    <row r="19" spans="6:28" ht="14.25" customHeight="1">
      <c r="F19" s="433" t="s">
        <v>80</v>
      </c>
      <c r="G19" s="436"/>
      <c r="H19" s="140" t="s">
        <v>25</v>
      </c>
      <c r="I19" s="434"/>
      <c r="J19" s="1064" t="str">
        <f>IF(J$3&lt;&gt;$A$1,"",'Bau-Geometrie'!C33)</f>
        <v/>
      </c>
      <c r="K19" s="1065"/>
      <c r="L19" s="1065"/>
      <c r="M19" s="1064" t="str">
        <f>IF(M$3&lt;&gt;$A$1,"",'Bau-Geometrie'!D33)</f>
        <v/>
      </c>
      <c r="N19" s="1065"/>
      <c r="O19" s="1065"/>
      <c r="P19" s="1064" t="str">
        <f>IF(P$3&lt;&gt;$A$1,"",'Bau-Geometrie'!E33)</f>
        <v/>
      </c>
      <c r="Q19" s="1065"/>
      <c r="R19" s="1065"/>
      <c r="S19" s="1064" t="str">
        <f>IF(S$3&lt;&gt;$A$1,"",'Bau-Geometrie'!F33)</f>
        <v/>
      </c>
      <c r="T19" s="1065"/>
      <c r="U19" s="1065"/>
      <c r="V19" s="1082" t="str">
        <f>IF(V$3&lt;&gt;$A$1,"",'Bau-Geometrie'!G33)</f>
        <v/>
      </c>
      <c r="W19" s="1083"/>
      <c r="X19" s="1083"/>
      <c r="Y19" s="1082" t="str">
        <f>IF(Y$3&lt;&gt;$A$1,"",'Bau-Geometrie'!H33)</f>
        <v/>
      </c>
      <c r="Z19" s="1083"/>
      <c r="AA19" s="1084"/>
      <c r="AB19" s="10"/>
    </row>
    <row r="20" spans="6:28" ht="14.25" customHeight="1">
      <c r="F20" s="437" t="s">
        <v>462</v>
      </c>
      <c r="G20" s="893"/>
      <c r="H20" s="131" t="s">
        <v>62</v>
      </c>
      <c r="I20" s="429"/>
      <c r="J20" s="1058" t="str">
        <f>IF(J$3&lt;&gt;$A$1,"",'Bau-Geometrie'!C34)</f>
        <v/>
      </c>
      <c r="K20" s="1059"/>
      <c r="L20" s="1059"/>
      <c r="M20" s="1058" t="str">
        <f>IF(M$3&lt;&gt;$A$1,"",'Bau-Geometrie'!D34)</f>
        <v/>
      </c>
      <c r="N20" s="1059"/>
      <c r="O20" s="1059"/>
      <c r="P20" s="1058" t="str">
        <f>IF(P$3&lt;&gt;$A$1,"",'Bau-Geometrie'!E34)</f>
        <v/>
      </c>
      <c r="Q20" s="1059"/>
      <c r="R20" s="1059"/>
      <c r="S20" s="1058" t="str">
        <f>IF(S$3&lt;&gt;$A$1,"",'Bau-Geometrie'!F34)</f>
        <v/>
      </c>
      <c r="T20" s="1059"/>
      <c r="U20" s="1059"/>
      <c r="V20" s="1058" t="str">
        <f>IF(V$3&lt;&gt;$A$1,"",'Bau-Geometrie'!G34)</f>
        <v/>
      </c>
      <c r="W20" s="1059"/>
      <c r="X20" s="1059"/>
      <c r="Y20" s="1058" t="str">
        <f>IF(Y$3&lt;&gt;$A$1,"",'Bau-Geometrie'!H34)</f>
        <v/>
      </c>
      <c r="Z20" s="1059"/>
      <c r="AA20" s="1060"/>
      <c r="AB20" s="10"/>
    </row>
    <row r="21" spans="6:28" ht="14.25" customHeight="1">
      <c r="F21" s="427" t="s">
        <v>459</v>
      </c>
      <c r="G21" s="893"/>
      <c r="H21" s="131" t="s">
        <v>62</v>
      </c>
      <c r="I21" s="429"/>
      <c r="J21" s="1058" t="str">
        <f>IF(J$3&lt;&gt;$A$1,"",'Bau-Geometrie'!C35)</f>
        <v/>
      </c>
      <c r="K21" s="1059"/>
      <c r="L21" s="1059"/>
      <c r="M21" s="1058" t="str">
        <f>IF(M$3&lt;&gt;$A$1,"",'Bau-Geometrie'!D35)</f>
        <v/>
      </c>
      <c r="N21" s="1059"/>
      <c r="O21" s="1059"/>
      <c r="P21" s="1058" t="str">
        <f>IF(P$3&lt;&gt;$A$1,"",'Bau-Geometrie'!E35)</f>
        <v/>
      </c>
      <c r="Q21" s="1059"/>
      <c r="R21" s="1059"/>
      <c r="S21" s="1058" t="str">
        <f>IF(S$3&lt;&gt;$A$1,"",'Bau-Geometrie'!F35)</f>
        <v/>
      </c>
      <c r="T21" s="1059"/>
      <c r="U21" s="1059"/>
      <c r="V21" s="1058" t="str">
        <f>IF(V$3&lt;&gt;$A$1,"",'Bau-Geometrie'!G35)</f>
        <v/>
      </c>
      <c r="W21" s="1059"/>
      <c r="X21" s="1059"/>
      <c r="Y21" s="1058" t="str">
        <f>IF(Y$3&lt;&gt;$A$1,"",'Bau-Geometrie'!H35)</f>
        <v/>
      </c>
      <c r="Z21" s="1059"/>
      <c r="AA21" s="1060"/>
      <c r="AB21" s="10"/>
    </row>
    <row r="22" spans="6:28" ht="14.25" customHeight="1">
      <c r="F22" s="438" t="s">
        <v>460</v>
      </c>
      <c r="G22" s="894"/>
      <c r="H22" s="136" t="s">
        <v>461</v>
      </c>
      <c r="I22" s="439"/>
      <c r="J22" s="1090" t="str">
        <f>IF(J$3&lt;&gt;$A$1,"",'Bau-Geometrie'!C36)</f>
        <v/>
      </c>
      <c r="K22" s="1091"/>
      <c r="L22" s="1091"/>
      <c r="M22" s="1090" t="str">
        <f>IF(M$3&lt;&gt;$A$1,"",'Bau-Geometrie'!D36)</f>
        <v/>
      </c>
      <c r="N22" s="1091"/>
      <c r="O22" s="1091"/>
      <c r="P22" s="1090" t="str">
        <f>IF(P$3&lt;&gt;$A$1,"",'Bau-Geometrie'!E36)</f>
        <v/>
      </c>
      <c r="Q22" s="1091"/>
      <c r="R22" s="1091"/>
      <c r="S22" s="1090" t="str">
        <f>IF(S$3&lt;&gt;$A$1,"",'Bau-Geometrie'!F36)</f>
        <v/>
      </c>
      <c r="T22" s="1091"/>
      <c r="U22" s="1091"/>
      <c r="V22" s="1090" t="str">
        <f>IF(V$3&lt;&gt;$A$1,"",'Bau-Geometrie'!G36)</f>
        <v/>
      </c>
      <c r="W22" s="1091"/>
      <c r="X22" s="1091"/>
      <c r="Y22" s="1090" t="str">
        <f>IF(Y$3&lt;&gt;$A$1,"",'Bau-Geometrie'!H36)</f>
        <v/>
      </c>
      <c r="Z22" s="1091"/>
      <c r="AA22" s="1092"/>
      <c r="AB22" s="10"/>
    </row>
    <row r="23" spans="6:28" s="147" customFormat="1" ht="14.25" customHeight="1">
      <c r="F23" s="152" t="s">
        <v>82</v>
      </c>
      <c r="G23" s="153"/>
      <c r="H23" s="153" t="s">
        <v>25</v>
      </c>
      <c r="I23" s="154"/>
      <c r="J23" s="1088" t="str">
        <f>IF(J$3&lt;&gt;$A$1,"",'Bau-Geometrie'!C37)</f>
        <v/>
      </c>
      <c r="K23" s="1089"/>
      <c r="L23" s="1089"/>
      <c r="M23" s="1088" t="str">
        <f>IF(M$3&lt;&gt;$A$1,"",'Bau-Geometrie'!D37)</f>
        <v/>
      </c>
      <c r="N23" s="1089"/>
      <c r="O23" s="1089"/>
      <c r="P23" s="1088" t="str">
        <f>IF(P$3&lt;&gt;$A$1,"",'Bau-Geometrie'!E37)</f>
        <v/>
      </c>
      <c r="Q23" s="1089"/>
      <c r="R23" s="1089"/>
      <c r="S23" s="1088" t="str">
        <f>IF(S$3&lt;&gt;$A$1,"",'Bau-Geometrie'!F37)</f>
        <v/>
      </c>
      <c r="T23" s="1089"/>
      <c r="U23" s="1089"/>
      <c r="V23" s="1073" t="str">
        <f>IF(V$3&lt;&gt;$A$1,"",'Bau-Geometrie'!G37)</f>
        <v/>
      </c>
      <c r="W23" s="1074"/>
      <c r="X23" s="1074"/>
      <c r="Y23" s="1073" t="str">
        <f>IF(Y$3&lt;&gt;$A$1,"",'Bau-Geometrie'!H37)</f>
        <v/>
      </c>
      <c r="Z23" s="1074"/>
      <c r="AA23" s="1075"/>
      <c r="AB23" s="151"/>
    </row>
    <row r="24" spans="6:28" s="147" customFormat="1" ht="14.25" customHeight="1">
      <c r="F24" s="156" t="s">
        <v>462</v>
      </c>
      <c r="G24" s="157"/>
      <c r="H24" s="157" t="s">
        <v>62</v>
      </c>
      <c r="I24" s="158"/>
      <c r="J24" s="1079" t="str">
        <f>IF(J$3&lt;&gt;$A$1,"",'Bau-Geometrie'!C38)</f>
        <v/>
      </c>
      <c r="K24" s="1080"/>
      <c r="L24" s="1080"/>
      <c r="M24" s="1079" t="str">
        <f>IF(M$3&lt;&gt;$A$1,"",'Bau-Geometrie'!D38)</f>
        <v/>
      </c>
      <c r="N24" s="1080"/>
      <c r="O24" s="1080"/>
      <c r="P24" s="1079" t="str">
        <f>IF(P$3&lt;&gt;$A$1,"",'Bau-Geometrie'!E38)</f>
        <v/>
      </c>
      <c r="Q24" s="1080"/>
      <c r="R24" s="1080"/>
      <c r="S24" s="1079" t="str">
        <f>IF(S$3&lt;&gt;$A$1,"",'Bau-Geometrie'!F38)</f>
        <v/>
      </c>
      <c r="T24" s="1080"/>
      <c r="U24" s="1080"/>
      <c r="V24" s="1079" t="str">
        <f>IF(V$3&lt;&gt;$A$1,"",'Bau-Geometrie'!G38)</f>
        <v/>
      </c>
      <c r="W24" s="1080"/>
      <c r="X24" s="1080"/>
      <c r="Y24" s="1079" t="str">
        <f>IF(Y$3&lt;&gt;$A$1,"",'Bau-Geometrie'!H38)</f>
        <v/>
      </c>
      <c r="Z24" s="1080"/>
      <c r="AA24" s="1081"/>
      <c r="AB24" s="151"/>
    </row>
    <row r="25" spans="6:28" s="147" customFormat="1" ht="14.25" customHeight="1">
      <c r="F25" s="160" t="s">
        <v>459</v>
      </c>
      <c r="G25" s="157"/>
      <c r="H25" s="157" t="s">
        <v>62</v>
      </c>
      <c r="I25" s="158"/>
      <c r="J25" s="1079" t="str">
        <f>IF(J$3&lt;&gt;$A$1,"",'Bau-Geometrie'!C39)</f>
        <v/>
      </c>
      <c r="K25" s="1080"/>
      <c r="L25" s="1080"/>
      <c r="M25" s="1079" t="str">
        <f>IF(M$3&lt;&gt;$A$1,"",'Bau-Geometrie'!D39)</f>
        <v/>
      </c>
      <c r="N25" s="1080"/>
      <c r="O25" s="1080"/>
      <c r="P25" s="1079" t="str">
        <f>IF(P$3&lt;&gt;$A$1,"",'Bau-Geometrie'!E39)</f>
        <v/>
      </c>
      <c r="Q25" s="1080"/>
      <c r="R25" s="1080"/>
      <c r="S25" s="1079" t="str">
        <f>IF(S$3&lt;&gt;$A$1,"",'Bau-Geometrie'!F39)</f>
        <v/>
      </c>
      <c r="T25" s="1080"/>
      <c r="U25" s="1080"/>
      <c r="V25" s="1079" t="str">
        <f>IF(V$3&lt;&gt;$A$1,"",'Bau-Geometrie'!G39)</f>
        <v/>
      </c>
      <c r="W25" s="1080"/>
      <c r="X25" s="1080"/>
      <c r="Y25" s="1079" t="str">
        <f>IF(Y$3&lt;&gt;$A$1,"",'Bau-Geometrie'!H39)</f>
        <v/>
      </c>
      <c r="Z25" s="1080"/>
      <c r="AA25" s="1081"/>
      <c r="AB25" s="151"/>
    </row>
    <row r="26" spans="6:28" s="147" customFormat="1" ht="14.25" customHeight="1">
      <c r="F26" s="161" t="s">
        <v>460</v>
      </c>
      <c r="G26" s="162"/>
      <c r="H26" s="162" t="s">
        <v>504</v>
      </c>
      <c r="I26" s="163"/>
      <c r="J26" s="1085" t="str">
        <f>IF(J$3&lt;&gt;$A$1,"",'Bau-Geometrie'!C40)</f>
        <v/>
      </c>
      <c r="K26" s="1086"/>
      <c r="L26" s="1086"/>
      <c r="M26" s="1085" t="str">
        <f>IF(M$3&lt;&gt;$A$1,"",'Bau-Geometrie'!D40)</f>
        <v/>
      </c>
      <c r="N26" s="1086"/>
      <c r="O26" s="1086"/>
      <c r="P26" s="1085" t="str">
        <f>IF(P$3&lt;&gt;$A$1,"",'Bau-Geometrie'!E40)</f>
        <v/>
      </c>
      <c r="Q26" s="1086"/>
      <c r="R26" s="1086"/>
      <c r="S26" s="1085" t="str">
        <f>IF(S$3&lt;&gt;$A$1,"",'Bau-Geometrie'!F40)</f>
        <v/>
      </c>
      <c r="T26" s="1086"/>
      <c r="U26" s="1086"/>
      <c r="V26" s="1085" t="str">
        <f>IF(V$3&lt;&gt;$A$1,"",'Bau-Geometrie'!G40)</f>
        <v/>
      </c>
      <c r="W26" s="1086"/>
      <c r="X26" s="1086"/>
      <c r="Y26" s="1085" t="str">
        <f>IF(Y$3&lt;&gt;$A$1,"",'Bau-Geometrie'!H40)</f>
        <v/>
      </c>
      <c r="Z26" s="1086"/>
      <c r="AA26" s="1087"/>
      <c r="AB26" s="151"/>
    </row>
    <row r="27" spans="6:28" s="147" customFormat="1" ht="14.25" customHeight="1">
      <c r="F27" s="164" t="s">
        <v>463</v>
      </c>
      <c r="G27" s="895"/>
      <c r="H27" s="890" t="s">
        <v>505</v>
      </c>
      <c r="I27" s="165"/>
      <c r="J27" s="1093" t="str">
        <f>IF(J$3&lt;&gt;$A$1,"",'Bau-Geometrie'!C41)</f>
        <v/>
      </c>
      <c r="K27" s="1094"/>
      <c r="L27" s="1094"/>
      <c r="M27" s="1093" t="str">
        <f>IF(M$3&lt;&gt;$A$1,"",'Bau-Geometrie'!D41)</f>
        <v/>
      </c>
      <c r="N27" s="1094"/>
      <c r="O27" s="1094"/>
      <c r="P27" s="1093" t="str">
        <f>IF(P$3&lt;&gt;$A$1,"",'Bau-Geometrie'!E41)</f>
        <v/>
      </c>
      <c r="Q27" s="1094"/>
      <c r="R27" s="1094"/>
      <c r="S27" s="1093" t="str">
        <f>IF(S$3&lt;&gt;$A$1,"",'Bau-Geometrie'!F41)</f>
        <v/>
      </c>
      <c r="T27" s="1094"/>
      <c r="U27" s="1094"/>
      <c r="V27" s="1093" t="str">
        <f>IF(V$3&lt;&gt;$A$1,"",'Bau-Geometrie'!G41)</f>
        <v/>
      </c>
      <c r="W27" s="1094"/>
      <c r="X27" s="1094"/>
      <c r="Y27" s="1093" t="str">
        <f>IF(Y$3&lt;&gt;$A$1,"",'Bau-Geometrie'!H41)</f>
        <v/>
      </c>
      <c r="Z27" s="1094"/>
      <c r="AA27" s="1095"/>
      <c r="AB27" s="151"/>
    </row>
    <row r="28" spans="6:28" ht="14.25" customHeight="1">
      <c r="F28" s="433" t="s">
        <v>85</v>
      </c>
      <c r="G28" s="892"/>
      <c r="H28" s="140" t="s">
        <v>25</v>
      </c>
      <c r="I28" s="436"/>
      <c r="J28" s="1064" t="str">
        <f>IF(J$3&lt;&gt;$A$1,"",'Bau-Geometrie'!C42)</f>
        <v/>
      </c>
      <c r="K28" s="1065"/>
      <c r="L28" s="1065"/>
      <c r="M28" s="1064" t="str">
        <f>IF(M$3&lt;&gt;$A$1,"",'Bau-Geometrie'!D42)</f>
        <v/>
      </c>
      <c r="N28" s="1065"/>
      <c r="O28" s="1065"/>
      <c r="P28" s="1064" t="str">
        <f>IF(P$3&lt;&gt;$A$1,"",'Bau-Geometrie'!E42)</f>
        <v/>
      </c>
      <c r="Q28" s="1065"/>
      <c r="R28" s="1065"/>
      <c r="S28" s="1064" t="str">
        <f>IF(S$3&lt;&gt;$A$1,"",'Bau-Geometrie'!F42)</f>
        <v/>
      </c>
      <c r="T28" s="1065"/>
      <c r="U28" s="1065"/>
      <c r="V28" s="1082" t="str">
        <f>IF(V$3&lt;&gt;$A$1,"",'Bau-Geometrie'!G42)</f>
        <v/>
      </c>
      <c r="W28" s="1083"/>
      <c r="X28" s="1083"/>
      <c r="Y28" s="1082" t="str">
        <f>IF(Y$3&lt;&gt;$A$1,"",'Bau-Geometrie'!H42)</f>
        <v/>
      </c>
      <c r="Z28" s="1083"/>
      <c r="AA28" s="1084"/>
      <c r="AB28" s="10"/>
    </row>
    <row r="29" spans="6:28" ht="14.25" customHeight="1">
      <c r="F29" s="437" t="s">
        <v>462</v>
      </c>
      <c r="G29" s="893"/>
      <c r="H29" s="131" t="s">
        <v>62</v>
      </c>
      <c r="I29" s="428"/>
      <c r="J29" s="1058" t="str">
        <f>IF(J$3&lt;&gt;$A$1,"",'Bau-Geometrie'!C43)</f>
        <v/>
      </c>
      <c r="K29" s="1059"/>
      <c r="L29" s="1059"/>
      <c r="M29" s="1058" t="str">
        <f>IF(M$3&lt;&gt;$A$1,"",'Bau-Geometrie'!D43)</f>
        <v/>
      </c>
      <c r="N29" s="1059"/>
      <c r="O29" s="1059"/>
      <c r="P29" s="1058" t="str">
        <f>IF(P$3&lt;&gt;$A$1,"",'Bau-Geometrie'!E43)</f>
        <v/>
      </c>
      <c r="Q29" s="1059"/>
      <c r="R29" s="1059"/>
      <c r="S29" s="1058" t="str">
        <f>IF(S$3&lt;&gt;$A$1,"",'Bau-Geometrie'!F43)</f>
        <v/>
      </c>
      <c r="T29" s="1059"/>
      <c r="U29" s="1059"/>
      <c r="V29" s="1058" t="str">
        <f>IF(V$3&lt;&gt;$A$1,"",'Bau-Geometrie'!G43)</f>
        <v/>
      </c>
      <c r="W29" s="1059"/>
      <c r="X29" s="1059"/>
      <c r="Y29" s="1058" t="str">
        <f>IF(Y$3&lt;&gt;$A$1,"",'Bau-Geometrie'!H43)</f>
        <v/>
      </c>
      <c r="Z29" s="1059"/>
      <c r="AA29" s="1060"/>
      <c r="AB29" s="10"/>
    </row>
    <row r="30" spans="6:28" ht="14.25" customHeight="1">
      <c r="F30" s="427" t="s">
        <v>459</v>
      </c>
      <c r="G30" s="893"/>
      <c r="H30" s="131" t="s">
        <v>62</v>
      </c>
      <c r="I30" s="428"/>
      <c r="J30" s="1058" t="str">
        <f>IF(J$3&lt;&gt;$A$1,"",'Bau-Geometrie'!C44)</f>
        <v/>
      </c>
      <c r="K30" s="1059"/>
      <c r="L30" s="1059"/>
      <c r="M30" s="1058" t="str">
        <f>IF(M$3&lt;&gt;$A$1,"",'Bau-Geometrie'!D44)</f>
        <v/>
      </c>
      <c r="N30" s="1059"/>
      <c r="O30" s="1059"/>
      <c r="P30" s="1058" t="str">
        <f>IF(P$3&lt;&gt;$A$1,"",'Bau-Geometrie'!E44)</f>
        <v/>
      </c>
      <c r="Q30" s="1059"/>
      <c r="R30" s="1059"/>
      <c r="S30" s="1058" t="str">
        <f>IF(S$3&lt;&gt;$A$1,"",'Bau-Geometrie'!F44)</f>
        <v/>
      </c>
      <c r="T30" s="1059"/>
      <c r="U30" s="1059"/>
      <c r="V30" s="1058" t="str">
        <f>IF(V$3&lt;&gt;$A$1,"",'Bau-Geometrie'!G44)</f>
        <v/>
      </c>
      <c r="W30" s="1059"/>
      <c r="X30" s="1059"/>
      <c r="Y30" s="1058" t="str">
        <f>IF(Y$3&lt;&gt;$A$1,"",'Bau-Geometrie'!H44)</f>
        <v/>
      </c>
      <c r="Z30" s="1059"/>
      <c r="AA30" s="1060"/>
      <c r="AB30" s="10"/>
    </row>
    <row r="31" spans="6:28" ht="14.25" customHeight="1">
      <c r="F31" s="438" t="s">
        <v>460</v>
      </c>
      <c r="G31" s="894"/>
      <c r="H31" s="136" t="s">
        <v>461</v>
      </c>
      <c r="I31" s="440"/>
      <c r="J31" s="1090" t="str">
        <f>IF(J$3&lt;&gt;$A$1,"",'Bau-Geometrie'!C45)</f>
        <v/>
      </c>
      <c r="K31" s="1091"/>
      <c r="L31" s="1091"/>
      <c r="M31" s="1090" t="str">
        <f>IF(M$3&lt;&gt;$A$1,"",'Bau-Geometrie'!D45)</f>
        <v/>
      </c>
      <c r="N31" s="1091"/>
      <c r="O31" s="1091"/>
      <c r="P31" s="1090" t="str">
        <f>IF(P$3&lt;&gt;$A$1,"",'Bau-Geometrie'!E45)</f>
        <v/>
      </c>
      <c r="Q31" s="1091"/>
      <c r="R31" s="1091"/>
      <c r="S31" s="1090" t="str">
        <f>IF(S$3&lt;&gt;$A$1,"",'Bau-Geometrie'!F45)</f>
        <v/>
      </c>
      <c r="T31" s="1091"/>
      <c r="U31" s="1091"/>
      <c r="V31" s="1090" t="str">
        <f>IF(V$3&lt;&gt;$A$1,"",'Bau-Geometrie'!G45)</f>
        <v/>
      </c>
      <c r="W31" s="1091"/>
      <c r="X31" s="1091"/>
      <c r="Y31" s="1090" t="str">
        <f>IF(Y$3&lt;&gt;$A$1,"",'Bau-Geometrie'!H45)</f>
        <v/>
      </c>
      <c r="Z31" s="1091"/>
      <c r="AA31" s="1092"/>
      <c r="AB31" s="10"/>
    </row>
    <row r="32" spans="6:28" ht="14.25" customHeight="1">
      <c r="F32" s="441" t="s">
        <v>88</v>
      </c>
      <c r="G32" s="442"/>
      <c r="H32" s="141" t="s">
        <v>5</v>
      </c>
      <c r="I32" s="443"/>
      <c r="J32" s="1096" t="str">
        <f>IF(J$3&lt;&gt;$A$1,"",'Bau-Geometrie'!C46)</f>
        <v/>
      </c>
      <c r="K32" s="1097"/>
      <c r="L32" s="1097"/>
      <c r="M32" s="1096" t="str">
        <f>IF(M$3&lt;&gt;$A$1,"",'Bau-Geometrie'!D46)</f>
        <v/>
      </c>
      <c r="N32" s="1097"/>
      <c r="O32" s="1097"/>
      <c r="P32" s="1096" t="str">
        <f>IF(P$3&lt;&gt;$A$1,"",'Bau-Geometrie'!E46)</f>
        <v/>
      </c>
      <c r="Q32" s="1097"/>
      <c r="R32" s="1097"/>
      <c r="S32" s="1096" t="str">
        <f>IF(S$3&lt;&gt;$A$1,"",'Bau-Geometrie'!F46)</f>
        <v/>
      </c>
      <c r="T32" s="1097"/>
      <c r="U32" s="1097"/>
      <c r="V32" s="1096" t="str">
        <f>IF(V$3&lt;&gt;$A$1,"",'Bau-Geometrie'!G46)</f>
        <v/>
      </c>
      <c r="W32" s="1097"/>
      <c r="X32" s="1097"/>
      <c r="Y32" s="1096" t="str">
        <f>IF(Y$3&lt;&gt;$A$1,"",'Bau-Geometrie'!H46)</f>
        <v/>
      </c>
      <c r="Z32" s="1097"/>
      <c r="AA32" s="1098"/>
      <c r="AB32" s="10"/>
    </row>
    <row r="33" spans="1:28" ht="14.25" customHeight="1">
      <c r="F33" s="433" t="s">
        <v>506</v>
      </c>
      <c r="G33" s="444"/>
      <c r="H33" s="140" t="s">
        <v>461</v>
      </c>
      <c r="I33" s="436"/>
      <c r="J33" s="1082" t="str">
        <f>IF(J$3&lt;&gt;$A$1,"",'Bau-Geometrie'!C47)</f>
        <v/>
      </c>
      <c r="K33" s="1083"/>
      <c r="L33" s="1083"/>
      <c r="M33" s="1082" t="str">
        <f>IF(M$3&lt;&gt;$A$1,"",'Bau-Geometrie'!D47)</f>
        <v/>
      </c>
      <c r="N33" s="1083"/>
      <c r="O33" s="1083"/>
      <c r="P33" s="1082" t="str">
        <f>IF(P$3&lt;&gt;$A$1,"",'Bau-Geometrie'!E47)</f>
        <v/>
      </c>
      <c r="Q33" s="1083"/>
      <c r="R33" s="1083"/>
      <c r="S33" s="1082" t="str">
        <f>IF(S$3&lt;&gt;$A$1,"",'Bau-Geometrie'!F47)</f>
        <v/>
      </c>
      <c r="T33" s="1083"/>
      <c r="U33" s="1083"/>
      <c r="V33" s="1082" t="str">
        <f>IF(V$3&lt;&gt;$A$1,"",'Bau-Geometrie'!G47)</f>
        <v/>
      </c>
      <c r="W33" s="1083"/>
      <c r="X33" s="1083"/>
      <c r="Y33" s="1082" t="str">
        <f>IF(Y$3&lt;&gt;$A$1,"",'Bau-Geometrie'!H47)</f>
        <v/>
      </c>
      <c r="Z33" s="1083"/>
      <c r="AA33" s="1084"/>
      <c r="AB33" s="10"/>
    </row>
    <row r="34" spans="1:28" ht="14.25" customHeight="1">
      <c r="E34" s="55"/>
      <c r="F34" s="877" t="s">
        <v>507</v>
      </c>
      <c r="G34" s="135"/>
      <c r="H34" s="136" t="s">
        <v>461</v>
      </c>
      <c r="I34" s="439"/>
      <c r="J34" s="1090" t="str">
        <f>IF(J$3&lt;&gt;$A$1,"",'Bau-Geometrie'!C48)</f>
        <v/>
      </c>
      <c r="K34" s="1091"/>
      <c r="L34" s="1091"/>
      <c r="M34" s="1090" t="str">
        <f>IF(M$3&lt;&gt;$A$1,"",'Bau-Geometrie'!D48)</f>
        <v/>
      </c>
      <c r="N34" s="1091"/>
      <c r="O34" s="1091"/>
      <c r="P34" s="1090" t="str">
        <f>IF(P$3&lt;&gt;$A$1,"",'Bau-Geometrie'!E48)</f>
        <v/>
      </c>
      <c r="Q34" s="1091"/>
      <c r="R34" s="1091"/>
      <c r="S34" s="1090" t="str">
        <f>IF(S$3&lt;&gt;$A$1,"",'Bau-Geometrie'!F48)</f>
        <v/>
      </c>
      <c r="T34" s="1091"/>
      <c r="U34" s="1091"/>
      <c r="V34" s="1090" t="str">
        <f>IF(V$3&lt;&gt;$A$1,"",'Bau-Geometrie'!G48)</f>
        <v/>
      </c>
      <c r="W34" s="1091"/>
      <c r="X34" s="1091"/>
      <c r="Y34" s="1090" t="str">
        <f>IF(Y$3&lt;&gt;$A$1,"",'Bau-Geometrie'!H48)</f>
        <v/>
      </c>
      <c r="Z34" s="1091"/>
      <c r="AA34" s="1092"/>
      <c r="AB34" s="10"/>
    </row>
    <row r="35" spans="1:28" ht="14.25" customHeight="1">
      <c r="F35" s="175" t="s">
        <v>52</v>
      </c>
      <c r="G35" s="550"/>
      <c r="H35" s="898" t="s">
        <v>5</v>
      </c>
      <c r="I35" s="551"/>
      <c r="J35" s="1099" t="str">
        <f>IF(J$3&lt;&gt;$A$1,"",Tunneldaten!E13)</f>
        <v/>
      </c>
      <c r="K35" s="1100"/>
      <c r="L35" s="1101"/>
      <c r="M35" s="1099" t="str">
        <f>IF(M$3&lt;&gt;$A$1,"",Tunneldaten!F13)</f>
        <v/>
      </c>
      <c r="N35" s="1100"/>
      <c r="O35" s="1101"/>
      <c r="P35" s="1099" t="str">
        <f>IF(P$3&lt;&gt;$A$1,"",Tunneldaten!G13)</f>
        <v/>
      </c>
      <c r="Q35" s="1100"/>
      <c r="R35" s="1101"/>
      <c r="S35" s="1099" t="str">
        <f>IF(S$3&lt;&gt;$A$1,"",Tunneldaten!H13)</f>
        <v/>
      </c>
      <c r="T35" s="1100"/>
      <c r="U35" s="1101"/>
      <c r="V35" s="1099" t="str">
        <f>IF(V$3&lt;&gt;$A$1,"",Tunneldaten!I13)</f>
        <v/>
      </c>
      <c r="W35" s="1100"/>
      <c r="X35" s="1101"/>
      <c r="Y35" s="1099" t="str">
        <f>IF(Y$3&lt;&gt;$A$1,"",Tunneldaten!J13)</f>
        <v/>
      </c>
      <c r="Z35" s="1100"/>
      <c r="AA35" s="1101"/>
      <c r="AB35" s="10"/>
    </row>
    <row r="36" spans="1:28" ht="14.25" customHeight="1">
      <c r="F36" s="177" t="s">
        <v>508</v>
      </c>
      <c r="G36" s="549"/>
      <c r="H36" s="903" t="s">
        <v>54</v>
      </c>
      <c r="I36" s="426"/>
      <c r="J36" s="1043" t="str">
        <f>IF(J$3&lt;&gt;$A$1,"",IF(J$35=1,Tunneldaten!$E$57,IF(J$35=2,Tunneldaten!$F$57,IF(J$35=3,Tunneldaten!$G$57,Tunneldaten!$H$57))))</f>
        <v/>
      </c>
      <c r="K36" s="1044"/>
      <c r="L36" s="1045"/>
      <c r="M36" s="1043" t="str">
        <f>IF(M$3&lt;&gt;$A$1,"",IF(M$35=1,Tunneldaten!$E$57,IF(M$35=2,Tunneldaten!$F$57,IF(M$35=3,Tunneldaten!$G$57,Tunneldaten!$H$57))))</f>
        <v/>
      </c>
      <c r="N36" s="1044"/>
      <c r="O36" s="1045"/>
      <c r="P36" s="1043" t="str">
        <f>IF(P$3&lt;&gt;$A$1,"",IF(P$35=1,Tunneldaten!$E$57,IF(P$35=2,Tunneldaten!$F$57,IF(P$35=3,Tunneldaten!$G$57,Tunneldaten!$H$57))))</f>
        <v/>
      </c>
      <c r="Q36" s="1044"/>
      <c r="R36" s="1045"/>
      <c r="S36" s="1043" t="str">
        <f>IF(S$3&lt;&gt;$A$1,"",IF(S$35=1,Tunneldaten!$E$57,IF(S$35=2,Tunneldaten!$F$57,IF(S$35=3,Tunneldaten!$G$57,Tunneldaten!$H$57))))</f>
        <v/>
      </c>
      <c r="T36" s="1044"/>
      <c r="U36" s="1045"/>
      <c r="V36" s="1043" t="str">
        <f>IF(V$3&lt;&gt;$A$1,"",IF(V$35=1,Tunneldaten!$E$57,IF(V$35=2,Tunneldaten!$F$57,IF(V$35=3,Tunneldaten!$G$57,Tunneldaten!$H$57))))</f>
        <v/>
      </c>
      <c r="W36" s="1044"/>
      <c r="X36" s="1045"/>
      <c r="Y36" s="1043" t="str">
        <f>IF(Y$3&lt;&gt;$A$1,"",IF(Y$35=1,Tunneldaten!$E$57,IF(Y$35=2,Tunneldaten!$F$57,IF(Y$35=3,Tunneldaten!$G$57,Tunneldaten!$H$57))))</f>
        <v/>
      </c>
      <c r="Z36" s="1044"/>
      <c r="AA36" s="1045"/>
      <c r="AB36" s="10"/>
    </row>
    <row r="37" spans="1:28" ht="14.25" customHeight="1">
      <c r="F37" s="180" t="s">
        <v>509</v>
      </c>
      <c r="G37" s="546"/>
      <c r="H37" s="547" t="s">
        <v>54</v>
      </c>
      <c r="I37" s="429"/>
      <c r="J37" s="1043" t="str">
        <f>IF(J$3&lt;&gt;$A$1,"",IF(J$35=1,Tunneldaten!$E$58,IF(J$35=2,Tunneldaten!$F$58,IF(J$35=3,Tunneldaten!$G$58,Tunneldaten!$H$58))))</f>
        <v/>
      </c>
      <c r="K37" s="1044"/>
      <c r="L37" s="1045"/>
      <c r="M37" s="1043" t="str">
        <f>IF(M$3&lt;&gt;$A$1,"",IF(M$35=1,Tunneldaten!$E$58,IF(M$35=2,Tunneldaten!$F$58,IF(M$35=3,Tunneldaten!$G$58,Tunneldaten!$H$58))))</f>
        <v/>
      </c>
      <c r="N37" s="1044"/>
      <c r="O37" s="1045"/>
      <c r="P37" s="1043" t="str">
        <f>IF(P$3&lt;&gt;$A$1,"",IF(P$35=1,Tunneldaten!$E$58,IF(P$35=2,Tunneldaten!$F$58,IF(P$35=3,Tunneldaten!$G$58,Tunneldaten!$H$58))))</f>
        <v/>
      </c>
      <c r="Q37" s="1044"/>
      <c r="R37" s="1045"/>
      <c r="S37" s="1043" t="str">
        <f>IF(S$3&lt;&gt;$A$1,"",IF(S$35=1,Tunneldaten!$E$58,IF(S$35=2,Tunneldaten!$F$58,IF(S$35=3,Tunneldaten!$G$58,Tunneldaten!$H$58))))</f>
        <v/>
      </c>
      <c r="T37" s="1044"/>
      <c r="U37" s="1045"/>
      <c r="V37" s="1043" t="str">
        <f>IF(V$3&lt;&gt;$A$1,"",IF(V$35=1,Tunneldaten!$E$58,IF(V$35=2,Tunneldaten!$F$58,IF(V$35=3,Tunneldaten!$G$58,Tunneldaten!$H$58))))</f>
        <v/>
      </c>
      <c r="W37" s="1044"/>
      <c r="X37" s="1045"/>
      <c r="Y37" s="1043" t="str">
        <f>IF(Y$3&lt;&gt;$A$1,"",IF(Y$35=1,Tunneldaten!$E$58,IF(Y$35=2,Tunneldaten!$F$58,IF(Y$35=3,Tunneldaten!$G$58,Tunneldaten!$H$58))))</f>
        <v/>
      </c>
      <c r="Z37" s="1044"/>
      <c r="AA37" s="1045"/>
      <c r="AB37" s="10"/>
    </row>
    <row r="38" spans="1:28" ht="14.25" customHeight="1">
      <c r="F38" s="180" t="s">
        <v>510</v>
      </c>
      <c r="G38" s="546"/>
      <c r="H38" s="547" t="s">
        <v>54</v>
      </c>
      <c r="I38" s="429"/>
      <c r="J38" s="1043" t="str">
        <f>IF(J$3&lt;&gt;$A$1,"",IF(J$35=1,Tunneldaten!$E$59,IF(J$35=2,Tunneldaten!$F$59,IF(J$35=3,Tunneldaten!$G$59,Tunneldaten!$H$59))))</f>
        <v/>
      </c>
      <c r="K38" s="1044"/>
      <c r="L38" s="1045"/>
      <c r="M38" s="1043" t="str">
        <f>IF(M$3&lt;&gt;$A$1,"",IF(M$35=1,Tunneldaten!$E$59,IF(M$35=2,Tunneldaten!$F$59,IF(M$35=3,Tunneldaten!$G$59,Tunneldaten!$H$59))))</f>
        <v/>
      </c>
      <c r="N38" s="1044"/>
      <c r="O38" s="1045"/>
      <c r="P38" s="1043" t="str">
        <f>IF(P$3&lt;&gt;$A$1,"",IF(P$35=1,Tunneldaten!$E$59,IF(P$35=2,Tunneldaten!$F$59,IF(P$35=3,Tunneldaten!$G$59,Tunneldaten!$H$59))))</f>
        <v/>
      </c>
      <c r="Q38" s="1044"/>
      <c r="R38" s="1045"/>
      <c r="S38" s="1043" t="str">
        <f>IF(S$3&lt;&gt;$A$1,"",IF(S$35=1,Tunneldaten!$E$59,IF(S$35=2,Tunneldaten!$F$59,IF(S$35=3,Tunneldaten!$G$59,Tunneldaten!$H$59))))</f>
        <v/>
      </c>
      <c r="T38" s="1044"/>
      <c r="U38" s="1045"/>
      <c r="V38" s="1043" t="str">
        <f>IF(V$3&lt;&gt;$A$1,"",IF(V$35=1,Tunneldaten!$E$59,IF(V$35=2,Tunneldaten!$F$59,IF(V$35=3,Tunneldaten!$G$59,Tunneldaten!$H$59))))</f>
        <v/>
      </c>
      <c r="W38" s="1044"/>
      <c r="X38" s="1045"/>
      <c r="Y38" s="1043" t="str">
        <f>IF(Y$3&lt;&gt;$A$1,"",IF(Y$35=1,Tunneldaten!$E$59,IF(Y$35=2,Tunneldaten!$F$59,IF(Y$35=3,Tunneldaten!$G$59,Tunneldaten!$H$59))))</f>
        <v/>
      </c>
      <c r="Z38" s="1044"/>
      <c r="AA38" s="1045"/>
      <c r="AB38" s="10"/>
    </row>
    <row r="39" spans="1:28" ht="14.25" customHeight="1">
      <c r="F39" s="180" t="s">
        <v>511</v>
      </c>
      <c r="G39" s="546"/>
      <c r="H39" s="547" t="s">
        <v>54</v>
      </c>
      <c r="I39" s="429"/>
      <c r="J39" s="1043" t="str">
        <f>IF(J$3&lt;&gt;$A$1,"",IF(J$35=1,Tunneldaten!$E$61,IF(J$35=2,Tunneldaten!$F$61,IF(J$35=3,Tunneldaten!$G$61,Tunneldaten!$H$61))))</f>
        <v/>
      </c>
      <c r="K39" s="1044"/>
      <c r="L39" s="1045"/>
      <c r="M39" s="1043" t="str">
        <f>IF(M$3&lt;&gt;$A$1,"",IF(M$35=1,Tunneldaten!$E$61,IF(M$35=2,Tunneldaten!$F$61,IF(M$35=3,Tunneldaten!$G$61,Tunneldaten!$H$61))))</f>
        <v/>
      </c>
      <c r="N39" s="1044"/>
      <c r="O39" s="1045"/>
      <c r="P39" s="1043" t="str">
        <f>IF(P$3&lt;&gt;$A$1,"",IF(P$35=1,Tunneldaten!$E$61,IF(P$35=2,Tunneldaten!$F$61,IF(P$35=3,Tunneldaten!$G$61,Tunneldaten!$H$61))))</f>
        <v/>
      </c>
      <c r="Q39" s="1044"/>
      <c r="R39" s="1045"/>
      <c r="S39" s="1043" t="str">
        <f>IF(S$3&lt;&gt;$A$1,"",IF(S$35=1,Tunneldaten!$E$61,IF(S$35=2,Tunneldaten!$F$61,IF(S$35=3,Tunneldaten!$G$61,Tunneldaten!$H$61))))</f>
        <v/>
      </c>
      <c r="T39" s="1044"/>
      <c r="U39" s="1045"/>
      <c r="V39" s="1043" t="str">
        <f>IF(V$3&lt;&gt;$A$1,"",IF(V$35=1,Tunneldaten!$E$61,IF(V$35=2,Tunneldaten!$F$61,IF(V$35=3,Tunneldaten!$G$61,Tunneldaten!$H$61))))</f>
        <v/>
      </c>
      <c r="W39" s="1044"/>
      <c r="X39" s="1045"/>
      <c r="Y39" s="1043" t="str">
        <f>IF(Y$3&lt;&gt;$A$1,"",IF(Y$35=1,Tunneldaten!$E$61,IF(Y$35=2,Tunneldaten!$F$61,IF(Y$35=3,Tunneldaten!$G$61,Tunneldaten!$H$61))))</f>
        <v/>
      </c>
      <c r="Z39" s="1044"/>
      <c r="AA39" s="1045"/>
      <c r="AB39" s="10"/>
    </row>
    <row r="40" spans="1:28" ht="14.25" customHeight="1">
      <c r="A40" s="79"/>
      <c r="B40" s="79"/>
      <c r="C40" s="79"/>
      <c r="D40" s="79"/>
      <c r="E40" s="50"/>
      <c r="F40" s="180" t="s">
        <v>512</v>
      </c>
      <c r="G40" s="546"/>
      <c r="H40" s="547" t="s">
        <v>54</v>
      </c>
      <c r="I40" s="429"/>
      <c r="J40" s="1043" t="str">
        <f>IF(J$3&lt;&gt;$A$1,"",IF(J$35=1,Tunneldaten!$E$62,IF(J$35=2,Tunneldaten!$F$62,IF(J$35=3,Tunneldaten!$G$62,Tunneldaten!$H$62))))</f>
        <v/>
      </c>
      <c r="K40" s="1044"/>
      <c r="L40" s="1045"/>
      <c r="M40" s="1043" t="str">
        <f>IF(M$3&lt;&gt;$A$1,"",IF(M$35=1,Tunneldaten!$E$62,IF(M$35=2,Tunneldaten!$F$62,IF(M$35=3,Tunneldaten!$G$62,Tunneldaten!$H$62))))</f>
        <v/>
      </c>
      <c r="N40" s="1044"/>
      <c r="O40" s="1045"/>
      <c r="P40" s="1043" t="str">
        <f>IF(P$3&lt;&gt;$A$1,"",IF(P$35=1,Tunneldaten!$E$62,IF(P$35=2,Tunneldaten!$F$62,IF(P$35=3,Tunneldaten!$G$62,Tunneldaten!$H$62))))</f>
        <v/>
      </c>
      <c r="Q40" s="1044"/>
      <c r="R40" s="1045"/>
      <c r="S40" s="1043" t="str">
        <f>IF(S$3&lt;&gt;$A$1,"",IF(S$35=1,Tunneldaten!$E$62,IF(S$35=2,Tunneldaten!$F$62,IF(S$35=3,Tunneldaten!$G$62,Tunneldaten!$H$62))))</f>
        <v/>
      </c>
      <c r="T40" s="1044"/>
      <c r="U40" s="1045"/>
      <c r="V40" s="1043" t="str">
        <f>IF(V$3&lt;&gt;$A$1,"",IF(V$35=1,Tunneldaten!$E$62,IF(V$35=2,Tunneldaten!$F$62,IF(V$35=3,Tunneldaten!$G$62,Tunneldaten!$H$62))))</f>
        <v/>
      </c>
      <c r="W40" s="1044"/>
      <c r="X40" s="1045"/>
      <c r="Y40" s="1043" t="str">
        <f>IF(Y$3&lt;&gt;$A$1,"",IF(Y$35=1,Tunneldaten!$E$62,IF(Y$35=2,Tunneldaten!$F$62,IF(Y$35=3,Tunneldaten!$G$62,Tunneldaten!$H$62))))</f>
        <v/>
      </c>
      <c r="Z40" s="1044"/>
      <c r="AA40" s="1045"/>
      <c r="AB40" s="10"/>
    </row>
    <row r="41" spans="1:28" ht="14.25" customHeight="1">
      <c r="E41" s="50"/>
      <c r="F41" s="187" t="s">
        <v>513</v>
      </c>
      <c r="G41" s="135"/>
      <c r="H41" s="548" t="s">
        <v>54</v>
      </c>
      <c r="I41" s="439"/>
      <c r="J41" s="1033" t="str">
        <f>IF(J$3&lt;&gt;$A$1,"",IF(J$35=1,Tunneldaten!$E$63,IF(J$35=2,Tunneldaten!$F$63,IF(J$35=3,Tunneldaten!$G$63,Tunneldaten!$H$63))))</f>
        <v/>
      </c>
      <c r="K41" s="1034"/>
      <c r="L41" s="1035"/>
      <c r="M41" s="1033" t="str">
        <f>IF(M$3&lt;&gt;$A$1,"",IF(M$35=1,Tunneldaten!$E$63,IF(M$35=2,Tunneldaten!$F$63,IF(M$35=3,Tunneldaten!$G$63,Tunneldaten!$H$63))))</f>
        <v/>
      </c>
      <c r="N41" s="1034"/>
      <c r="O41" s="1035"/>
      <c r="P41" s="1033" t="str">
        <f>IF(P$3&lt;&gt;$A$1,"",IF(P$35=1,Tunneldaten!$E$63,IF(P$35=2,Tunneldaten!$F$63,IF(P$35=3,Tunneldaten!$G$63,Tunneldaten!$H$63))))</f>
        <v/>
      </c>
      <c r="Q41" s="1034"/>
      <c r="R41" s="1035"/>
      <c r="S41" s="1033" t="str">
        <f>IF(S$3&lt;&gt;$A$1,"",IF(S$35=1,Tunneldaten!$E$63,IF(S$35=2,Tunneldaten!$F$63,IF(S$35=3,Tunneldaten!$G$63,Tunneldaten!$H$63))))</f>
        <v/>
      </c>
      <c r="T41" s="1034"/>
      <c r="U41" s="1035"/>
      <c r="V41" s="1033" t="str">
        <f>IF(V$3&lt;&gt;$A$1,"",IF(V$35=1,Tunneldaten!$E$63,IF(V$35=2,Tunneldaten!$F$63,IF(V$35=3,Tunneldaten!$G$63,Tunneldaten!$H$63))))</f>
        <v/>
      </c>
      <c r="W41" s="1034"/>
      <c r="X41" s="1035"/>
      <c r="Y41" s="1033" t="str">
        <f>IF(Y$3&lt;&gt;$A$1,"",IF(Y$35=1,Tunneldaten!$E$63,IF(Y$35=2,Tunneldaten!$F$63,IF(Y$35=3,Tunneldaten!$G$63,Tunneldaten!$H$63))))</f>
        <v/>
      </c>
      <c r="Z41" s="1034"/>
      <c r="AA41" s="1035"/>
      <c r="AB41" s="10"/>
    </row>
    <row r="42" spans="1:28" ht="14.25" customHeight="1">
      <c r="E42" s="55"/>
      <c r="F42" s="50"/>
      <c r="G42" s="53"/>
      <c r="H42" s="6"/>
      <c r="J42" s="1039"/>
      <c r="K42" s="1039"/>
      <c r="L42" s="1039"/>
      <c r="M42" s="1039"/>
      <c r="N42" s="1039"/>
      <c r="O42" s="1039"/>
      <c r="P42" s="1039"/>
      <c r="Q42" s="1039"/>
      <c r="R42" s="1039"/>
      <c r="S42" s="1039"/>
      <c r="T42" s="1039"/>
      <c r="U42" s="1039"/>
      <c r="V42" s="1039"/>
      <c r="W42" s="1039"/>
      <c r="X42" s="1039"/>
      <c r="Y42" s="1039"/>
      <c r="Z42" s="1039"/>
      <c r="AA42" s="1039"/>
      <c r="AB42" s="10"/>
    </row>
    <row r="43" spans="1:28" ht="14.25" customHeight="1">
      <c r="F43" s="134" t="s">
        <v>514</v>
      </c>
      <c r="G43" s="89"/>
      <c r="H43" s="897"/>
      <c r="I43" s="375"/>
      <c r="J43" s="1105"/>
      <c r="K43" s="1106"/>
      <c r="L43" s="1107"/>
      <c r="M43" s="1105"/>
      <c r="N43" s="1106"/>
      <c r="O43" s="1107"/>
      <c r="P43" s="1105"/>
      <c r="Q43" s="1106"/>
      <c r="R43" s="1106"/>
      <c r="S43" s="1105"/>
      <c r="T43" s="1106"/>
      <c r="U43" s="1106"/>
      <c r="V43" s="1105"/>
      <c r="W43" s="1106"/>
      <c r="X43" s="1106"/>
      <c r="Y43" s="1105"/>
      <c r="Z43" s="1106"/>
      <c r="AA43" s="1107"/>
      <c r="AB43" s="10"/>
    </row>
    <row r="44" spans="1:28" ht="8.25" customHeight="1">
      <c r="G44" s="5"/>
      <c r="H44" s="6"/>
      <c r="J44" s="1108"/>
      <c r="K44" s="1109"/>
      <c r="L44" s="1110"/>
      <c r="M44" s="1111"/>
      <c r="N44" s="975"/>
      <c r="O44" s="1112"/>
      <c r="P44" s="1111"/>
      <c r="Q44" s="975"/>
      <c r="R44" s="975"/>
      <c r="S44" s="1111"/>
      <c r="T44" s="975"/>
      <c r="U44" s="975"/>
      <c r="V44" s="1111"/>
      <c r="W44" s="975"/>
      <c r="X44" s="975"/>
      <c r="Y44" s="1111"/>
      <c r="Z44" s="975"/>
      <c r="AA44" s="1112"/>
      <c r="AB44" s="10"/>
    </row>
    <row r="45" spans="1:28" ht="14.25" customHeight="1">
      <c r="F45" s="376" t="s">
        <v>163</v>
      </c>
      <c r="G45" s="137"/>
      <c r="H45" s="377" t="s">
        <v>369</v>
      </c>
      <c r="I45" s="378"/>
      <c r="J45" s="1102">
        <f>MROUND(IFERROR(SUMIF($A$64:$A$87,$F45,K$64:K$87),0),10)</f>
        <v>0</v>
      </c>
      <c r="K45" s="1103"/>
      <c r="L45" s="1104"/>
      <c r="M45" s="1102">
        <f t="shared" ref="M45:Y48" si="0">MROUND(IFERROR(SUMIF($A$64:$A$87,$F45,N$64:N$87),0),10)</f>
        <v>0</v>
      </c>
      <c r="N45" s="1103"/>
      <c r="O45" s="1104"/>
      <c r="P45" s="1102">
        <f t="shared" ref="P45" si="1">MROUND(IFERROR(SUMIF($A$64:$A$87,$F45,Q$64:Q$87),0),10)</f>
        <v>0</v>
      </c>
      <c r="Q45" s="1103"/>
      <c r="R45" s="1104"/>
      <c r="S45" s="1102">
        <f t="shared" ref="S45" si="2">MROUND(IFERROR(SUMIF($A$64:$A$87,$F45,T$64:T$87),0),10)</f>
        <v>0</v>
      </c>
      <c r="T45" s="1103"/>
      <c r="U45" s="1104"/>
      <c r="V45" s="1102">
        <f t="shared" ref="V45" si="3">MROUND(IFERROR(SUMIF($A$64:$A$87,$F45,W$64:W$87),0),10)</f>
        <v>0</v>
      </c>
      <c r="W45" s="1103"/>
      <c r="X45" s="1104"/>
      <c r="Y45" s="1102">
        <f t="shared" ref="Y45" si="4">MROUND(IFERROR(SUMIF($A$64:$A$87,$F45,Z$64:Z$87),0),10)</f>
        <v>0</v>
      </c>
      <c r="Z45" s="1103"/>
      <c r="AA45" s="1104"/>
      <c r="AB45" s="10"/>
    </row>
    <row r="46" spans="1:28" ht="14.25" customHeight="1">
      <c r="F46" s="419" t="s">
        <v>166</v>
      </c>
      <c r="G46" s="88"/>
      <c r="H46" s="380" t="s">
        <v>369</v>
      </c>
      <c r="I46" s="381"/>
      <c r="J46" s="1040">
        <f t="shared" ref="J46:J48" si="5">MROUND(IFERROR(SUMIF($A$64:$A$87,$F46,K$64:K$87),0),10)</f>
        <v>0</v>
      </c>
      <c r="K46" s="1041"/>
      <c r="L46" s="1042"/>
      <c r="M46" s="1040">
        <f t="shared" si="0"/>
        <v>0</v>
      </c>
      <c r="N46" s="1041"/>
      <c r="O46" s="1042"/>
      <c r="P46" s="1040">
        <f t="shared" si="0"/>
        <v>0</v>
      </c>
      <c r="Q46" s="1041"/>
      <c r="R46" s="1042"/>
      <c r="S46" s="1040">
        <f t="shared" si="0"/>
        <v>0</v>
      </c>
      <c r="T46" s="1041"/>
      <c r="U46" s="1042"/>
      <c r="V46" s="1040">
        <f t="shared" si="0"/>
        <v>0</v>
      </c>
      <c r="W46" s="1041"/>
      <c r="X46" s="1042"/>
      <c r="Y46" s="1040">
        <f t="shared" si="0"/>
        <v>0</v>
      </c>
      <c r="Z46" s="1041"/>
      <c r="AA46" s="1042"/>
      <c r="AB46" s="10"/>
    </row>
    <row r="47" spans="1:28" ht="14.25" customHeight="1">
      <c r="F47" s="419" t="s">
        <v>168</v>
      </c>
      <c r="G47" s="88"/>
      <c r="H47" s="380" t="s">
        <v>369</v>
      </c>
      <c r="I47" s="381"/>
      <c r="J47" s="1040">
        <f t="shared" si="5"/>
        <v>0</v>
      </c>
      <c r="K47" s="1041"/>
      <c r="L47" s="1042"/>
      <c r="M47" s="1040">
        <f t="shared" si="0"/>
        <v>0</v>
      </c>
      <c r="N47" s="1041"/>
      <c r="O47" s="1042"/>
      <c r="P47" s="1040">
        <f t="shared" si="0"/>
        <v>0</v>
      </c>
      <c r="Q47" s="1041"/>
      <c r="R47" s="1042"/>
      <c r="S47" s="1040">
        <f t="shared" si="0"/>
        <v>0</v>
      </c>
      <c r="T47" s="1041"/>
      <c r="U47" s="1042"/>
      <c r="V47" s="1040">
        <f t="shared" si="0"/>
        <v>0</v>
      </c>
      <c r="W47" s="1041"/>
      <c r="X47" s="1042"/>
      <c r="Y47" s="1040">
        <f t="shared" si="0"/>
        <v>0</v>
      </c>
      <c r="Z47" s="1041"/>
      <c r="AA47" s="1042"/>
      <c r="AB47" s="10"/>
    </row>
    <row r="48" spans="1:28" ht="14.25" customHeight="1">
      <c r="F48" s="554" t="s">
        <v>497</v>
      </c>
      <c r="G48" s="555"/>
      <c r="H48" s="556" t="s">
        <v>369</v>
      </c>
      <c r="I48" s="557"/>
      <c r="J48" s="1040">
        <f t="shared" si="5"/>
        <v>0</v>
      </c>
      <c r="K48" s="1041"/>
      <c r="L48" s="1042"/>
      <c r="M48" s="1040">
        <f t="shared" si="0"/>
        <v>0</v>
      </c>
      <c r="N48" s="1041"/>
      <c r="O48" s="1042"/>
      <c r="P48" s="1040">
        <f t="shared" si="0"/>
        <v>0</v>
      </c>
      <c r="Q48" s="1041"/>
      <c r="R48" s="1042"/>
      <c r="S48" s="1040">
        <f t="shared" si="0"/>
        <v>0</v>
      </c>
      <c r="T48" s="1041"/>
      <c r="U48" s="1042"/>
      <c r="V48" s="1040">
        <f t="shared" si="0"/>
        <v>0</v>
      </c>
      <c r="W48" s="1041"/>
      <c r="X48" s="1042"/>
      <c r="Y48" s="1040">
        <f t="shared" si="0"/>
        <v>0</v>
      </c>
      <c r="Z48" s="1041"/>
      <c r="AA48" s="1042"/>
      <c r="AB48" s="10"/>
    </row>
    <row r="49" spans="1:29" ht="14.25" customHeight="1">
      <c r="F49" s="382" t="s">
        <v>104</v>
      </c>
      <c r="G49" s="384"/>
      <c r="H49" s="383" t="s">
        <v>369</v>
      </c>
      <c r="I49" s="573"/>
      <c r="J49" s="1036">
        <f>ROUND(IFERROR(SUMIF($A$64:$A$87,$F49,K$64:K$87),0),-1)</f>
        <v>0</v>
      </c>
      <c r="K49" s="1037"/>
      <c r="L49" s="1038"/>
      <c r="M49" s="1036">
        <f t="shared" ref="M49" si="6">ROUND(IFERROR(SUMIF($A$64:$A$87,$F49,N$64:N$87),0),-1)</f>
        <v>0</v>
      </c>
      <c r="N49" s="1037"/>
      <c r="O49" s="1038"/>
      <c r="P49" s="1036">
        <f t="shared" ref="P49" si="7">ROUND(IFERROR(SUMIF($A$64:$A$87,$F49,Q$64:Q$87),0),-1)</f>
        <v>0</v>
      </c>
      <c r="Q49" s="1037"/>
      <c r="R49" s="1038"/>
      <c r="S49" s="1036">
        <f t="shared" ref="S49" si="8">ROUND(IFERROR(SUMIF($A$64:$A$87,$F49,T$64:T$87),0),-1)</f>
        <v>0</v>
      </c>
      <c r="T49" s="1037"/>
      <c r="U49" s="1038"/>
      <c r="V49" s="1036">
        <f t="shared" ref="V49" si="9">ROUND(IFERROR(SUMIF($A$64:$A$87,$F49,W$64:W$87),0),-1)</f>
        <v>0</v>
      </c>
      <c r="W49" s="1037"/>
      <c r="X49" s="1038"/>
      <c r="Y49" s="1036">
        <f t="shared" ref="Y49" si="10">ROUND(IFERROR(SUMIF($A$64:$A$87,$F49,Z$64:Z$87),0),-1)</f>
        <v>0</v>
      </c>
      <c r="Z49" s="1037"/>
      <c r="AA49" s="1038"/>
      <c r="AB49" s="10"/>
    </row>
    <row r="50" spans="1:29" ht="14.25" customHeight="1">
      <c r="F50" s="50"/>
      <c r="G50" s="5"/>
      <c r="H50" s="6"/>
      <c r="J50" s="1113"/>
      <c r="K50" s="1113"/>
      <c r="L50" s="1113"/>
      <c r="M50" s="1039"/>
      <c r="N50" s="1039"/>
      <c r="O50" s="1039"/>
      <c r="P50" s="1039"/>
      <c r="Q50" s="1039"/>
      <c r="R50" s="1039"/>
      <c r="S50" s="1039"/>
      <c r="T50" s="1039"/>
      <c r="U50" s="1039"/>
      <c r="V50" s="1039"/>
      <c r="W50" s="1039"/>
      <c r="X50" s="1039"/>
      <c r="Y50" s="1039"/>
      <c r="Z50" s="1039"/>
      <c r="AA50" s="1039"/>
      <c r="AB50" s="10"/>
    </row>
    <row r="51" spans="1:29" ht="14.25" customHeight="1">
      <c r="F51" s="133" t="s">
        <v>515</v>
      </c>
      <c r="G51" s="89"/>
      <c r="H51" s="897" t="s">
        <v>369</v>
      </c>
      <c r="I51" s="375"/>
      <c r="J51" s="1117"/>
      <c r="K51" s="1118"/>
      <c r="L51" s="1119"/>
      <c r="M51" s="1105"/>
      <c r="N51" s="1106"/>
      <c r="O51" s="1107"/>
      <c r="P51" s="1105"/>
      <c r="Q51" s="1106"/>
      <c r="R51" s="1106"/>
      <c r="S51" s="1105"/>
      <c r="T51" s="1106"/>
      <c r="U51" s="1106"/>
      <c r="V51" s="1105"/>
      <c r="W51" s="1106"/>
      <c r="X51" s="1106"/>
      <c r="Y51" s="1105"/>
      <c r="Z51" s="1106"/>
      <c r="AA51" s="1107"/>
      <c r="AB51" s="10"/>
    </row>
    <row r="52" spans="1:29" ht="8.25" customHeight="1">
      <c r="G52" s="5"/>
      <c r="H52" s="6"/>
      <c r="J52" s="1108"/>
      <c r="K52" s="1109"/>
      <c r="L52" s="1110"/>
      <c r="M52" s="1111"/>
      <c r="N52" s="975"/>
      <c r="O52" s="1112"/>
      <c r="P52" s="1111"/>
      <c r="Q52" s="975"/>
      <c r="R52" s="975"/>
      <c r="S52" s="1111"/>
      <c r="T52" s="975"/>
      <c r="U52" s="975"/>
      <c r="V52" s="1111"/>
      <c r="W52" s="975"/>
      <c r="X52" s="975"/>
      <c r="Y52" s="1111"/>
      <c r="Z52" s="975"/>
      <c r="AA52" s="1112"/>
      <c r="AB52" s="10"/>
    </row>
    <row r="53" spans="1:29" ht="14.25" customHeight="1">
      <c r="F53" s="376" t="s">
        <v>189</v>
      </c>
      <c r="G53" s="137"/>
      <c r="H53" s="377" t="s">
        <v>516</v>
      </c>
      <c r="I53" s="378"/>
      <c r="J53" s="1114">
        <f>IFERROR(SUMIF($F$64:$F$87,$F53,L$64:L$87),0)</f>
        <v>0</v>
      </c>
      <c r="K53" s="1115"/>
      <c r="L53" s="1116"/>
      <c r="M53" s="1114">
        <f t="shared" ref="M53:M54" si="11">IFERROR(SUMIF($F$64:$F$87,$F53,O$64:O$87),0)</f>
        <v>0</v>
      </c>
      <c r="N53" s="1115"/>
      <c r="O53" s="1116"/>
      <c r="P53" s="1114">
        <f t="shared" ref="P53:P54" si="12">IFERROR(SUMIF($F$64:$F$87,$F53,R$64:R$87),0)</f>
        <v>0</v>
      </c>
      <c r="Q53" s="1115"/>
      <c r="R53" s="1116"/>
      <c r="S53" s="1114">
        <f t="shared" ref="S53:S54" si="13">IFERROR(SUMIF($F$64:$F$87,$F53,U$64:U$87),0)</f>
        <v>0</v>
      </c>
      <c r="T53" s="1115"/>
      <c r="U53" s="1116"/>
      <c r="V53" s="1114">
        <f t="shared" ref="V53:V54" si="14">IFERROR(SUMIF($F$64:$F$87,$F53,X$64:X$87),0)</f>
        <v>0</v>
      </c>
      <c r="W53" s="1115"/>
      <c r="X53" s="1116"/>
      <c r="Y53" s="1114">
        <f t="shared" ref="Y53:Y54" si="15">IFERROR(SUMIF($F$64:$F$87,$F53,AA$64:AA$87),0)</f>
        <v>0</v>
      </c>
      <c r="Z53" s="1115"/>
      <c r="AA53" s="1116"/>
      <c r="AB53" s="10"/>
    </row>
    <row r="54" spans="1:29" ht="14.25" customHeight="1">
      <c r="F54" s="379" t="s">
        <v>191</v>
      </c>
      <c r="G54" s="88"/>
      <c r="H54" s="380" t="s">
        <v>516</v>
      </c>
      <c r="I54" s="381"/>
      <c r="J54" s="1120">
        <f t="shared" ref="J54:J59" si="16">IFERROR(SUMIF($F$64:$F$87,$F54,L$64:L$87),0)</f>
        <v>0</v>
      </c>
      <c r="K54" s="1121"/>
      <c r="L54" s="1122"/>
      <c r="M54" s="1120">
        <f t="shared" si="11"/>
        <v>0</v>
      </c>
      <c r="N54" s="1121"/>
      <c r="O54" s="1122"/>
      <c r="P54" s="1120">
        <f t="shared" si="12"/>
        <v>0</v>
      </c>
      <c r="Q54" s="1121"/>
      <c r="R54" s="1122"/>
      <c r="S54" s="1120">
        <f t="shared" si="13"/>
        <v>0</v>
      </c>
      <c r="T54" s="1121"/>
      <c r="U54" s="1122"/>
      <c r="V54" s="1120">
        <f t="shared" si="14"/>
        <v>0</v>
      </c>
      <c r="W54" s="1121"/>
      <c r="X54" s="1122"/>
      <c r="Y54" s="1120">
        <f t="shared" si="15"/>
        <v>0</v>
      </c>
      <c r="Z54" s="1121"/>
      <c r="AA54" s="1122"/>
      <c r="AB54" s="10"/>
    </row>
    <row r="55" spans="1:29" ht="14.25" customHeight="1">
      <c r="F55" s="379" t="s">
        <v>517</v>
      </c>
      <c r="G55" s="88"/>
      <c r="H55" s="380" t="s">
        <v>516</v>
      </c>
      <c r="I55" s="381"/>
      <c r="J55" s="1120">
        <f t="shared" ref="J55" si="17">J54-J56</f>
        <v>0</v>
      </c>
      <c r="K55" s="1121"/>
      <c r="L55" s="1122"/>
      <c r="M55" s="1120">
        <f t="shared" ref="M55:Y55" si="18">M54-M56</f>
        <v>0</v>
      </c>
      <c r="N55" s="1121"/>
      <c r="O55" s="1122"/>
      <c r="P55" s="1120">
        <f t="shared" si="18"/>
        <v>0</v>
      </c>
      <c r="Q55" s="1121"/>
      <c r="R55" s="1122"/>
      <c r="S55" s="1120">
        <f t="shared" si="18"/>
        <v>0</v>
      </c>
      <c r="T55" s="1121"/>
      <c r="U55" s="1122"/>
      <c r="V55" s="1120">
        <f t="shared" si="18"/>
        <v>0</v>
      </c>
      <c r="W55" s="1121"/>
      <c r="X55" s="1122"/>
      <c r="Y55" s="1120">
        <f t="shared" si="18"/>
        <v>0</v>
      </c>
      <c r="Z55" s="1121"/>
      <c r="AA55" s="1122"/>
      <c r="AB55" s="10"/>
    </row>
    <row r="56" spans="1:29" ht="14.25" customHeight="1">
      <c r="F56" s="263" t="s">
        <v>518</v>
      </c>
      <c r="G56" s="264"/>
      <c r="H56" s="265" t="s">
        <v>519</v>
      </c>
      <c r="I56" s="266"/>
      <c r="J56" s="1123">
        <v>0</v>
      </c>
      <c r="K56" s="1124"/>
      <c r="L56" s="1125"/>
      <c r="M56" s="1123">
        <v>0</v>
      </c>
      <c r="N56" s="1124"/>
      <c r="O56" s="1125"/>
      <c r="P56" s="1123">
        <v>0</v>
      </c>
      <c r="Q56" s="1124"/>
      <c r="R56" s="1125"/>
      <c r="S56" s="1123">
        <v>0</v>
      </c>
      <c r="T56" s="1124"/>
      <c r="U56" s="1125"/>
      <c r="V56" s="1123">
        <v>0</v>
      </c>
      <c r="W56" s="1124"/>
      <c r="X56" s="1125"/>
      <c r="Y56" s="1123">
        <v>0</v>
      </c>
      <c r="Z56" s="1124"/>
      <c r="AA56" s="1125"/>
      <c r="AB56" s="10"/>
    </row>
    <row r="57" spans="1:29" ht="14.25" customHeight="1">
      <c r="F57" s="379" t="s">
        <v>98</v>
      </c>
      <c r="G57" s="88"/>
      <c r="H57" s="380" t="s">
        <v>190</v>
      </c>
      <c r="I57" s="381"/>
      <c r="J57" s="1120">
        <f t="shared" si="16"/>
        <v>0</v>
      </c>
      <c r="K57" s="1121"/>
      <c r="L57" s="1122"/>
      <c r="M57" s="1120">
        <f t="shared" ref="M57:M59" si="19">IFERROR(SUMIF($F$64:$F$87,$F57,O$64:O$87),0)</f>
        <v>0</v>
      </c>
      <c r="N57" s="1121"/>
      <c r="O57" s="1122"/>
      <c r="P57" s="1120">
        <f t="shared" ref="P57:P59" si="20">IFERROR(SUMIF($F$64:$F$87,$F57,R$64:R$87),0)</f>
        <v>0</v>
      </c>
      <c r="Q57" s="1121"/>
      <c r="R57" s="1122"/>
      <c r="S57" s="1120">
        <f t="shared" ref="S57:S59" si="21">IFERROR(SUMIF($F$64:$F$87,$F57,U$64:U$87),0)</f>
        <v>0</v>
      </c>
      <c r="T57" s="1121"/>
      <c r="U57" s="1122"/>
      <c r="V57" s="1120">
        <f t="shared" ref="V57:V59" si="22">IFERROR(SUMIF($F$64:$F$87,$F57,X$64:X$87),0)</f>
        <v>0</v>
      </c>
      <c r="W57" s="1121"/>
      <c r="X57" s="1122"/>
      <c r="Y57" s="1120">
        <f t="shared" ref="Y57:Y59" si="23">IFERROR(SUMIF($F$64:$F$87,$F57,AA$64:AA$87),0)</f>
        <v>0</v>
      </c>
      <c r="Z57" s="1121"/>
      <c r="AA57" s="1122"/>
      <c r="AB57" s="10"/>
    </row>
    <row r="58" spans="1:29" ht="14.25" customHeight="1">
      <c r="F58" s="379" t="s">
        <v>192</v>
      </c>
      <c r="G58" s="88"/>
      <c r="H58" s="380" t="s">
        <v>40</v>
      </c>
      <c r="I58" s="381"/>
      <c r="J58" s="1120">
        <f t="shared" si="16"/>
        <v>0</v>
      </c>
      <c r="K58" s="1121"/>
      <c r="L58" s="1122"/>
      <c r="M58" s="1120">
        <f t="shared" si="19"/>
        <v>0</v>
      </c>
      <c r="N58" s="1121"/>
      <c r="O58" s="1122"/>
      <c r="P58" s="1120">
        <f t="shared" si="20"/>
        <v>0</v>
      </c>
      <c r="Q58" s="1121"/>
      <c r="R58" s="1122"/>
      <c r="S58" s="1120">
        <f t="shared" si="21"/>
        <v>0</v>
      </c>
      <c r="T58" s="1121"/>
      <c r="U58" s="1122"/>
      <c r="V58" s="1120">
        <f t="shared" si="22"/>
        <v>0</v>
      </c>
      <c r="W58" s="1121"/>
      <c r="X58" s="1122"/>
      <c r="Y58" s="1120">
        <f t="shared" si="23"/>
        <v>0</v>
      </c>
      <c r="Z58" s="1121"/>
      <c r="AA58" s="1122"/>
      <c r="AB58" s="10"/>
    </row>
    <row r="59" spans="1:29" ht="14.25" customHeight="1">
      <c r="F59" s="382" t="s">
        <v>100</v>
      </c>
      <c r="G59" s="138"/>
      <c r="H59" s="383" t="s">
        <v>516</v>
      </c>
      <c r="I59" s="384"/>
      <c r="J59" s="1127">
        <f t="shared" si="16"/>
        <v>0</v>
      </c>
      <c r="K59" s="1128"/>
      <c r="L59" s="1129"/>
      <c r="M59" s="1127">
        <f t="shared" si="19"/>
        <v>0</v>
      </c>
      <c r="N59" s="1128"/>
      <c r="O59" s="1129"/>
      <c r="P59" s="1127">
        <f t="shared" si="20"/>
        <v>0</v>
      </c>
      <c r="Q59" s="1128"/>
      <c r="R59" s="1129"/>
      <c r="S59" s="1127">
        <f t="shared" si="21"/>
        <v>0</v>
      </c>
      <c r="T59" s="1128"/>
      <c r="U59" s="1129"/>
      <c r="V59" s="1127">
        <f t="shared" si="22"/>
        <v>0</v>
      </c>
      <c r="W59" s="1128"/>
      <c r="X59" s="1129"/>
      <c r="Y59" s="1127">
        <f t="shared" si="23"/>
        <v>0</v>
      </c>
      <c r="Z59" s="1128"/>
      <c r="AA59" s="1129"/>
      <c r="AB59" s="10"/>
    </row>
    <row r="60" spans="1:29" ht="14.25" customHeight="1">
      <c r="E60" s="50"/>
      <c r="F60" s="50"/>
      <c r="G60" s="53"/>
      <c r="J60" s="10"/>
      <c r="K60" s="50"/>
      <c r="L60" s="51"/>
      <c r="M60" s="86"/>
      <c r="N60" s="51"/>
      <c r="O60" s="50"/>
      <c r="P60" s="87"/>
      <c r="Q60" s="50"/>
      <c r="R60" s="51"/>
      <c r="S60" s="86"/>
      <c r="T60" s="51"/>
      <c r="U60" s="50"/>
      <c r="V60" s="87"/>
      <c r="Y60" s="10"/>
      <c r="AB60" s="10"/>
    </row>
    <row r="61" spans="1:29" ht="14.25" customHeight="1">
      <c r="C61" s="385"/>
      <c r="D61" s="385"/>
      <c r="E61" s="385"/>
      <c r="F61" s="385"/>
      <c r="G61" s="386"/>
      <c r="H61" s="385"/>
      <c r="I61" s="385"/>
      <c r="J61" s="387"/>
      <c r="K61" s="385"/>
      <c r="M61" s="10"/>
      <c r="P61" s="10"/>
      <c r="S61" s="10"/>
      <c r="V61" s="10"/>
      <c r="Y61" s="10"/>
      <c r="AB61" s="10"/>
    </row>
    <row r="62" spans="1:29" s="56" customFormat="1" ht="14.25" customHeight="1">
      <c r="B62" s="98" t="s">
        <v>125</v>
      </c>
      <c r="C62" s="99" t="s">
        <v>444</v>
      </c>
      <c r="D62" s="99" t="s">
        <v>520</v>
      </c>
      <c r="E62" s="98" t="s">
        <v>521</v>
      </c>
      <c r="F62" s="1126" t="s">
        <v>522</v>
      </c>
      <c r="G62" s="1126"/>
      <c r="H62" s="98" t="s">
        <v>523</v>
      </c>
      <c r="I62" s="98"/>
      <c r="J62" s="100" t="s">
        <v>524</v>
      </c>
      <c r="K62" s="99" t="s">
        <v>525</v>
      </c>
      <c r="L62" s="101" t="s">
        <v>522</v>
      </c>
      <c r="M62" s="100" t="s">
        <v>524</v>
      </c>
      <c r="N62" s="99" t="s">
        <v>525</v>
      </c>
      <c r="O62" s="101" t="s">
        <v>522</v>
      </c>
      <c r="P62" s="100" t="s">
        <v>524</v>
      </c>
      <c r="Q62" s="99" t="s">
        <v>525</v>
      </c>
      <c r="R62" s="101" t="s">
        <v>522</v>
      </c>
      <c r="S62" s="100" t="s">
        <v>524</v>
      </c>
      <c r="T62" s="99" t="s">
        <v>525</v>
      </c>
      <c r="U62" s="101" t="s">
        <v>522</v>
      </c>
      <c r="V62" s="100" t="s">
        <v>524</v>
      </c>
      <c r="W62" s="99" t="s">
        <v>525</v>
      </c>
      <c r="X62" s="101" t="s">
        <v>522</v>
      </c>
      <c r="Y62" s="100" t="s">
        <v>524</v>
      </c>
      <c r="Z62" s="99" t="s">
        <v>525</v>
      </c>
      <c r="AA62" s="101" t="s">
        <v>522</v>
      </c>
      <c r="AB62" s="78"/>
    </row>
    <row r="63" spans="1:29" s="56" customFormat="1" ht="8.25" customHeight="1">
      <c r="C63" s="61"/>
      <c r="D63" s="61"/>
      <c r="E63" s="58"/>
      <c r="F63" s="59"/>
      <c r="G63" s="61"/>
      <c r="H63" s="62"/>
      <c r="I63" s="62"/>
      <c r="J63" s="78"/>
      <c r="M63" s="63"/>
      <c r="N63" s="58"/>
      <c r="O63" s="83"/>
      <c r="P63" s="63"/>
      <c r="Q63" s="58"/>
      <c r="R63" s="60"/>
      <c r="S63" s="63"/>
      <c r="T63" s="58"/>
      <c r="U63" s="60"/>
      <c r="V63" s="63"/>
      <c r="W63" s="58"/>
      <c r="X63" s="83"/>
      <c r="Y63" s="63"/>
      <c r="Z63" s="58"/>
      <c r="AA63" s="60"/>
      <c r="AB63" s="78"/>
    </row>
    <row r="64" spans="1:29" s="56" customFormat="1" ht="14.25" customHeight="1">
      <c r="A64" s="413" t="s">
        <v>163</v>
      </c>
      <c r="B64" s="448"/>
      <c r="C64" s="446" t="s">
        <v>5</v>
      </c>
      <c r="D64" s="446" t="s">
        <v>516</v>
      </c>
      <c r="E64" s="451">
        <v>110</v>
      </c>
      <c r="F64" s="145" t="s">
        <v>189</v>
      </c>
      <c r="G64" s="446" t="s">
        <v>516</v>
      </c>
      <c r="H64" s="447">
        <v>1</v>
      </c>
      <c r="I64" s="448"/>
      <c r="J64" s="449">
        <f>IFERROR(J5*J8,0)</f>
        <v>0</v>
      </c>
      <c r="K64" s="127">
        <f>ROUND($E64*J64,)</f>
        <v>0</v>
      </c>
      <c r="L64" s="128">
        <f t="shared" ref="L64:L81" si="24">$H64*J64</f>
        <v>0</v>
      </c>
      <c r="M64" s="449">
        <f t="shared" ref="M64" si="25">IFERROR(M5*M8,0)</f>
        <v>0</v>
      </c>
      <c r="N64" s="127">
        <f t="shared" ref="N64:Z79" si="26">ROUND($E64*M64,)</f>
        <v>0</v>
      </c>
      <c r="O64" s="128">
        <f t="shared" ref="O64:O81" si="27">$H64*M64</f>
        <v>0</v>
      </c>
      <c r="P64" s="449">
        <f t="shared" ref="P64" si="28">IFERROR(P5*P8,0)</f>
        <v>0</v>
      </c>
      <c r="Q64" s="127">
        <f t="shared" ref="Q64" si="29">ROUND($E64*P64,)</f>
        <v>0</v>
      </c>
      <c r="R64" s="128">
        <f t="shared" ref="R64:R81" si="30">$H64*P64</f>
        <v>0</v>
      </c>
      <c r="S64" s="449">
        <f t="shared" ref="S64" si="31">IFERROR(S5*S8,0)</f>
        <v>0</v>
      </c>
      <c r="T64" s="127">
        <f t="shared" ref="T64" si="32">ROUND($E64*S64,)</f>
        <v>0</v>
      </c>
      <c r="U64" s="128">
        <f t="shared" ref="U64:U81" si="33">$H64*S64</f>
        <v>0</v>
      </c>
      <c r="V64" s="449">
        <f t="shared" ref="V64" si="34">IFERROR(V5*V8,0)</f>
        <v>0</v>
      </c>
      <c r="W64" s="127">
        <f t="shared" ref="W64" si="35">ROUND($E64*V64,)</f>
        <v>0</v>
      </c>
      <c r="X64" s="128">
        <f t="shared" ref="X64:X81" si="36">$H64*V64</f>
        <v>0</v>
      </c>
      <c r="Y64" s="449">
        <f t="shared" ref="Y64" si="37">IFERROR(Y5*Y8,0)</f>
        <v>0</v>
      </c>
      <c r="Z64" s="127">
        <f t="shared" ref="Z64" si="38">ROUND($E64*Y64,)</f>
        <v>0</v>
      </c>
      <c r="AA64" s="128">
        <f t="shared" ref="AA64:AA81" si="39">$H64*Y64</f>
        <v>0</v>
      </c>
      <c r="AB64" s="78"/>
      <c r="AC64" s="55"/>
    </row>
    <row r="65" spans="1:33" s="56" customFormat="1" ht="14.25" customHeight="1">
      <c r="A65" s="414" t="s">
        <v>166</v>
      </c>
      <c r="B65" s="390" t="s">
        <v>531</v>
      </c>
      <c r="C65" s="388" t="s">
        <v>53</v>
      </c>
      <c r="D65" s="403" t="s">
        <v>516</v>
      </c>
      <c r="E65" s="452">
        <v>350</v>
      </c>
      <c r="F65" s="106" t="s">
        <v>191</v>
      </c>
      <c r="G65" s="403" t="s">
        <v>516</v>
      </c>
      <c r="H65" s="389">
        <v>1</v>
      </c>
      <c r="I65" s="390"/>
      <c r="J65" s="391">
        <f>IFERROR(J$5*(J$8-J$22)*J9/100,0)</f>
        <v>0</v>
      </c>
      <c r="K65" s="108">
        <f t="shared" ref="K65:K81" si="40">ROUND($E65*J65,)</f>
        <v>0</v>
      </c>
      <c r="L65" s="109">
        <f t="shared" si="24"/>
        <v>0</v>
      </c>
      <c r="M65" s="391">
        <f t="shared" ref="M65" si="41">IFERROR(M$5*(M$8-M$22)*M9/100,0)</f>
        <v>0</v>
      </c>
      <c r="N65" s="108">
        <f t="shared" si="26"/>
        <v>0</v>
      </c>
      <c r="O65" s="109">
        <f t="shared" si="27"/>
        <v>0</v>
      </c>
      <c r="P65" s="391">
        <f t="shared" ref="P65" si="42">IFERROR(P$5*(P$8-P$22)*P9/100,0)</f>
        <v>0</v>
      </c>
      <c r="Q65" s="108">
        <f t="shared" si="26"/>
        <v>0</v>
      </c>
      <c r="R65" s="109">
        <f t="shared" si="30"/>
        <v>0</v>
      </c>
      <c r="S65" s="391">
        <f t="shared" ref="S65" si="43">IFERROR(S$5*(S$8-S$22)*S9/100,0)</f>
        <v>0</v>
      </c>
      <c r="T65" s="108">
        <f t="shared" si="26"/>
        <v>0</v>
      </c>
      <c r="U65" s="109">
        <f t="shared" si="33"/>
        <v>0</v>
      </c>
      <c r="V65" s="391">
        <f t="shared" ref="V65" si="44">IFERROR(V$5*(V$8-V$22)*V9/100,0)</f>
        <v>0</v>
      </c>
      <c r="W65" s="108">
        <f t="shared" si="26"/>
        <v>0</v>
      </c>
      <c r="X65" s="109">
        <f t="shared" si="36"/>
        <v>0</v>
      </c>
      <c r="Y65" s="391">
        <f t="shared" ref="Y65" si="45">IFERROR(Y$5*(Y$8-Y$22)*Y9/100,0)</f>
        <v>0</v>
      </c>
      <c r="Z65" s="108">
        <f t="shared" si="26"/>
        <v>0</v>
      </c>
      <c r="AA65" s="109">
        <f t="shared" si="39"/>
        <v>0</v>
      </c>
      <c r="AB65" s="78"/>
      <c r="AC65" s="55"/>
    </row>
    <row r="66" spans="1:33" s="56" customFormat="1" ht="14.25" customHeight="1">
      <c r="A66" s="453" t="s">
        <v>166</v>
      </c>
      <c r="B66" s="405" t="s">
        <v>531</v>
      </c>
      <c r="C66" s="403" t="s">
        <v>57</v>
      </c>
      <c r="D66" s="392" t="s">
        <v>516</v>
      </c>
      <c r="E66" s="454">
        <v>350</v>
      </c>
      <c r="F66" s="144" t="s">
        <v>191</v>
      </c>
      <c r="G66" s="392" t="s">
        <v>516</v>
      </c>
      <c r="H66" s="411">
        <v>1</v>
      </c>
      <c r="I66" s="405"/>
      <c r="J66" s="406">
        <f>IFERROR(J$5*(J$8-J$22)*J10/100,0)</f>
        <v>0</v>
      </c>
      <c r="K66" s="104">
        <f t="shared" si="40"/>
        <v>0</v>
      </c>
      <c r="L66" s="105">
        <f t="shared" si="24"/>
        <v>0</v>
      </c>
      <c r="M66" s="406">
        <f t="shared" ref="M66" si="46">IFERROR(M$5*(M$8-M$22)*M10/100,0)</f>
        <v>0</v>
      </c>
      <c r="N66" s="104">
        <f t="shared" si="26"/>
        <v>0</v>
      </c>
      <c r="O66" s="105">
        <f t="shared" si="27"/>
        <v>0</v>
      </c>
      <c r="P66" s="406">
        <f t="shared" ref="P66" si="47">IFERROR(P$5*(P$8-P$22)*P10/100,0)</f>
        <v>0</v>
      </c>
      <c r="Q66" s="104">
        <f t="shared" si="26"/>
        <v>0</v>
      </c>
      <c r="R66" s="105">
        <f t="shared" si="30"/>
        <v>0</v>
      </c>
      <c r="S66" s="406">
        <f t="shared" ref="S66" si="48">IFERROR(S$5*(S$8-S$22)*S10/100,0)</f>
        <v>0</v>
      </c>
      <c r="T66" s="104">
        <f t="shared" si="26"/>
        <v>0</v>
      </c>
      <c r="U66" s="105">
        <f t="shared" si="33"/>
        <v>0</v>
      </c>
      <c r="V66" s="406">
        <f t="shared" ref="V66" si="49">IFERROR(V$5*(V$8-V$22)*V10/100,0)</f>
        <v>0</v>
      </c>
      <c r="W66" s="104">
        <f t="shared" si="26"/>
        <v>0</v>
      </c>
      <c r="X66" s="105">
        <f t="shared" si="36"/>
        <v>0</v>
      </c>
      <c r="Y66" s="406">
        <f t="shared" ref="Y66" si="50">IFERROR(Y$5*(Y$8-Y$22)*Y10/100,0)</f>
        <v>0</v>
      </c>
      <c r="Z66" s="104">
        <f t="shared" si="26"/>
        <v>0</v>
      </c>
      <c r="AA66" s="105">
        <f t="shared" si="39"/>
        <v>0</v>
      </c>
      <c r="AB66" s="78"/>
      <c r="AC66" s="55"/>
    </row>
    <row r="67" spans="1:33" s="56" customFormat="1" ht="14.25" customHeight="1">
      <c r="A67" s="453" t="s">
        <v>166</v>
      </c>
      <c r="B67" s="405" t="s">
        <v>531</v>
      </c>
      <c r="C67" s="403" t="s">
        <v>60</v>
      </c>
      <c r="D67" s="392" t="s">
        <v>516</v>
      </c>
      <c r="E67" s="454">
        <v>350</v>
      </c>
      <c r="F67" s="144" t="s">
        <v>191</v>
      </c>
      <c r="G67" s="392" t="s">
        <v>516</v>
      </c>
      <c r="H67" s="411">
        <v>1</v>
      </c>
      <c r="I67" s="405"/>
      <c r="J67" s="406">
        <f>IFERROR(J$5*(J$8-J$22)*J11/100,0)</f>
        <v>0</v>
      </c>
      <c r="K67" s="104">
        <f t="shared" si="40"/>
        <v>0</v>
      </c>
      <c r="L67" s="105">
        <f t="shared" si="24"/>
        <v>0</v>
      </c>
      <c r="M67" s="406">
        <f t="shared" ref="M67" si="51">IFERROR(M$5*(M$8-M$22)*M11/100,0)</f>
        <v>0</v>
      </c>
      <c r="N67" s="104">
        <f t="shared" si="26"/>
        <v>0</v>
      </c>
      <c r="O67" s="105">
        <f t="shared" si="27"/>
        <v>0</v>
      </c>
      <c r="P67" s="406">
        <f t="shared" ref="P67" si="52">IFERROR(P$5*(P$8-P$22)*P11/100,0)</f>
        <v>0</v>
      </c>
      <c r="Q67" s="104">
        <f t="shared" si="26"/>
        <v>0</v>
      </c>
      <c r="R67" s="105">
        <f t="shared" si="30"/>
        <v>0</v>
      </c>
      <c r="S67" s="406">
        <f t="shared" ref="S67" si="53">IFERROR(S$5*(S$8-S$22)*S11/100,0)</f>
        <v>0</v>
      </c>
      <c r="T67" s="104">
        <f t="shared" si="26"/>
        <v>0</v>
      </c>
      <c r="U67" s="105">
        <f t="shared" si="33"/>
        <v>0</v>
      </c>
      <c r="V67" s="406">
        <f t="shared" ref="V67" si="54">IFERROR(V$5*(V$8-V$22)*V11/100,0)</f>
        <v>0</v>
      </c>
      <c r="W67" s="104">
        <f t="shared" si="26"/>
        <v>0</v>
      </c>
      <c r="X67" s="105">
        <f t="shared" si="36"/>
        <v>0</v>
      </c>
      <c r="Y67" s="406">
        <f t="shared" ref="Y67" si="55">IFERROR(Y$5*(Y$8-Y$22)*Y11/100,0)</f>
        <v>0</v>
      </c>
      <c r="Z67" s="104">
        <f t="shared" si="26"/>
        <v>0</v>
      </c>
      <c r="AA67" s="105">
        <f t="shared" si="39"/>
        <v>0</v>
      </c>
      <c r="AB67" s="78"/>
      <c r="AC67" s="55"/>
    </row>
    <row r="68" spans="1:33" s="56" customFormat="1" ht="14.25" customHeight="1">
      <c r="A68" s="453" t="s">
        <v>166</v>
      </c>
      <c r="B68" s="405" t="s">
        <v>531</v>
      </c>
      <c r="C68" s="403" t="s">
        <v>63</v>
      </c>
      <c r="D68" s="392" t="s">
        <v>516</v>
      </c>
      <c r="E68" s="454">
        <v>350</v>
      </c>
      <c r="F68" s="144" t="s">
        <v>191</v>
      </c>
      <c r="G68" s="392" t="s">
        <v>516</v>
      </c>
      <c r="H68" s="411">
        <v>1</v>
      </c>
      <c r="I68" s="405"/>
      <c r="J68" s="406">
        <f>IFERROR(J$5*(J$8-J$22)*J12/100,0)</f>
        <v>0</v>
      </c>
      <c r="K68" s="104">
        <f t="shared" si="40"/>
        <v>0</v>
      </c>
      <c r="L68" s="105">
        <f t="shared" si="24"/>
        <v>0</v>
      </c>
      <c r="M68" s="406">
        <f t="shared" ref="M68" si="56">IFERROR(M$5*(M$8-M$22)*M12/100,0)</f>
        <v>0</v>
      </c>
      <c r="N68" s="104">
        <f t="shared" si="26"/>
        <v>0</v>
      </c>
      <c r="O68" s="105">
        <f t="shared" si="27"/>
        <v>0</v>
      </c>
      <c r="P68" s="406">
        <f t="shared" ref="P68" si="57">IFERROR(P$5*(P$8-P$22)*P12/100,0)</f>
        <v>0</v>
      </c>
      <c r="Q68" s="104">
        <f t="shared" si="26"/>
        <v>0</v>
      </c>
      <c r="R68" s="105">
        <f t="shared" si="30"/>
        <v>0</v>
      </c>
      <c r="S68" s="406">
        <f t="shared" ref="S68" si="58">IFERROR(S$5*(S$8-S$22)*S12/100,0)</f>
        <v>0</v>
      </c>
      <c r="T68" s="104">
        <f t="shared" si="26"/>
        <v>0</v>
      </c>
      <c r="U68" s="105">
        <f t="shared" si="33"/>
        <v>0</v>
      </c>
      <c r="V68" s="406">
        <f t="shared" ref="V68" si="59">IFERROR(V$5*(V$8-V$22)*V12/100,0)</f>
        <v>0</v>
      </c>
      <c r="W68" s="104">
        <f t="shared" si="26"/>
        <v>0</v>
      </c>
      <c r="X68" s="105">
        <f t="shared" si="36"/>
        <v>0</v>
      </c>
      <c r="Y68" s="406">
        <f t="shared" ref="Y68" si="60">IFERROR(Y$5*(Y$8-Y$22)*Y12/100,0)</f>
        <v>0</v>
      </c>
      <c r="Z68" s="104">
        <f t="shared" si="26"/>
        <v>0</v>
      </c>
      <c r="AA68" s="105">
        <f t="shared" si="39"/>
        <v>0</v>
      </c>
      <c r="AB68" s="78"/>
      <c r="AC68" s="55"/>
    </row>
    <row r="69" spans="1:33" s="56" customFormat="1" ht="14.25" customHeight="1">
      <c r="A69" s="455" t="s">
        <v>166</v>
      </c>
      <c r="B69" s="456" t="s">
        <v>531</v>
      </c>
      <c r="C69" s="457" t="s">
        <v>65</v>
      </c>
      <c r="D69" s="457" t="s">
        <v>516</v>
      </c>
      <c r="E69" s="458">
        <v>350</v>
      </c>
      <c r="F69" s="210" t="s">
        <v>191</v>
      </c>
      <c r="G69" s="211" t="s">
        <v>526</v>
      </c>
      <c r="H69" s="459">
        <v>1</v>
      </c>
      <c r="I69" s="456"/>
      <c r="J69" s="460">
        <f>IFERROR(J$5*(J$8-J$22)*J13/100,0)</f>
        <v>0</v>
      </c>
      <c r="K69" s="212">
        <f t="shared" si="40"/>
        <v>0</v>
      </c>
      <c r="L69" s="213">
        <f t="shared" si="24"/>
        <v>0</v>
      </c>
      <c r="M69" s="460">
        <f t="shared" ref="M69" si="61">IFERROR(M$5*(M$8-M$22)*M13/100,0)</f>
        <v>0</v>
      </c>
      <c r="N69" s="212">
        <f t="shared" si="26"/>
        <v>0</v>
      </c>
      <c r="O69" s="213">
        <f t="shared" si="27"/>
        <v>0</v>
      </c>
      <c r="P69" s="460">
        <f t="shared" ref="P69" si="62">IFERROR(P$5*(P$8-P$22)*P13/100,0)</f>
        <v>0</v>
      </c>
      <c r="Q69" s="212">
        <f t="shared" si="26"/>
        <v>0</v>
      </c>
      <c r="R69" s="213">
        <f t="shared" si="30"/>
        <v>0</v>
      </c>
      <c r="S69" s="460">
        <f t="shared" ref="S69" si="63">IFERROR(S$5*(S$8-S$22)*S13/100,0)</f>
        <v>0</v>
      </c>
      <c r="T69" s="212">
        <f t="shared" si="26"/>
        <v>0</v>
      </c>
      <c r="U69" s="213">
        <f t="shared" si="33"/>
        <v>0</v>
      </c>
      <c r="V69" s="460">
        <f t="shared" ref="V69" si="64">IFERROR(V$5*(V$8-V$22)*V13/100,0)</f>
        <v>0</v>
      </c>
      <c r="W69" s="212">
        <f t="shared" si="26"/>
        <v>0</v>
      </c>
      <c r="X69" s="213">
        <f t="shared" si="36"/>
        <v>0</v>
      </c>
      <c r="Y69" s="460">
        <f t="shared" ref="Y69" si="65">IFERROR(Y$5*(Y$8-Y$22)*Y13/100,0)</f>
        <v>0</v>
      </c>
      <c r="Z69" s="212">
        <f t="shared" si="26"/>
        <v>0</v>
      </c>
      <c r="AA69" s="213">
        <f t="shared" si="39"/>
        <v>0</v>
      </c>
      <c r="AB69" s="78"/>
      <c r="AC69" s="55"/>
    </row>
    <row r="70" spans="1:33" s="56" customFormat="1" ht="14.25" customHeight="1">
      <c r="A70" s="453" t="s">
        <v>166</v>
      </c>
      <c r="B70" s="405" t="s">
        <v>529</v>
      </c>
      <c r="C70" s="403" t="s">
        <v>53</v>
      </c>
      <c r="D70" s="403" t="s">
        <v>40</v>
      </c>
      <c r="E70" s="880">
        <f>Parameter!$C$89</f>
        <v>15</v>
      </c>
      <c r="F70" s="144" t="s">
        <v>98</v>
      </c>
      <c r="G70" s="103" t="s">
        <v>190</v>
      </c>
      <c r="H70" s="404">
        <f>Parameter!$C$39</f>
        <v>3.0200000000000001E-3</v>
      </c>
      <c r="I70" s="405"/>
      <c r="J70" s="406">
        <f>IFERROR(J$5*J$21*J9/100*Parameter!$C53,0)</f>
        <v>0</v>
      </c>
      <c r="K70" s="104">
        <f t="shared" si="40"/>
        <v>0</v>
      </c>
      <c r="L70" s="105">
        <f t="shared" si="24"/>
        <v>0</v>
      </c>
      <c r="M70" s="406">
        <f>IFERROR(M$5*M$21*M9/100*Parameter!$C53,0)</f>
        <v>0</v>
      </c>
      <c r="N70" s="104">
        <f t="shared" si="26"/>
        <v>0</v>
      </c>
      <c r="O70" s="105">
        <f t="shared" si="27"/>
        <v>0</v>
      </c>
      <c r="P70" s="406">
        <f>IFERROR(P$5*P$21*P9/100*Parameter!$C53,0)</f>
        <v>0</v>
      </c>
      <c r="Q70" s="104">
        <f t="shared" si="26"/>
        <v>0</v>
      </c>
      <c r="R70" s="105">
        <f t="shared" si="30"/>
        <v>0</v>
      </c>
      <c r="S70" s="406">
        <f>IFERROR(S$5*S$21*S9/100*Parameter!$C53,0)</f>
        <v>0</v>
      </c>
      <c r="T70" s="104">
        <f t="shared" si="26"/>
        <v>0</v>
      </c>
      <c r="U70" s="105">
        <f t="shared" si="33"/>
        <v>0</v>
      </c>
      <c r="V70" s="406">
        <f>IFERROR(V$5*V$21*V9/100*Parameter!$C53,0)</f>
        <v>0</v>
      </c>
      <c r="W70" s="104">
        <f t="shared" si="26"/>
        <v>0</v>
      </c>
      <c r="X70" s="105">
        <f t="shared" si="36"/>
        <v>0</v>
      </c>
      <c r="Y70" s="406">
        <f>IFERROR(Y$5*Y$21*Y9/100*Parameter!$C53,0)</f>
        <v>0</v>
      </c>
      <c r="Z70" s="104">
        <f t="shared" si="26"/>
        <v>0</v>
      </c>
      <c r="AA70" s="105">
        <f t="shared" si="39"/>
        <v>0</v>
      </c>
      <c r="AB70" s="78"/>
      <c r="AC70" s="5"/>
    </row>
    <row r="71" spans="1:33" s="56" customFormat="1" ht="14.25" customHeight="1">
      <c r="A71" s="415" t="s">
        <v>166</v>
      </c>
      <c r="B71" s="394" t="s">
        <v>529</v>
      </c>
      <c r="C71" s="403" t="s">
        <v>57</v>
      </c>
      <c r="D71" s="392" t="s">
        <v>40</v>
      </c>
      <c r="E71" s="880">
        <f>Parameter!$C$90</f>
        <v>15</v>
      </c>
      <c r="F71" s="90" t="s">
        <v>98</v>
      </c>
      <c r="G71" s="91" t="s">
        <v>190</v>
      </c>
      <c r="H71" s="401">
        <f>Parameter!$C$39</f>
        <v>3.0200000000000001E-3</v>
      </c>
      <c r="I71" s="409"/>
      <c r="J71" s="406">
        <f>IFERROR(J$5*J$21*J10/100*Parameter!$C54,0)</f>
        <v>0</v>
      </c>
      <c r="K71" s="92">
        <f t="shared" si="40"/>
        <v>0</v>
      </c>
      <c r="L71" s="93">
        <f t="shared" si="24"/>
        <v>0</v>
      </c>
      <c r="M71" s="406">
        <f>IFERROR(M$5*M$21*M10/100*Parameter!$C54,0)</f>
        <v>0</v>
      </c>
      <c r="N71" s="92">
        <f t="shared" si="26"/>
        <v>0</v>
      </c>
      <c r="O71" s="93">
        <f t="shared" si="27"/>
        <v>0</v>
      </c>
      <c r="P71" s="406">
        <f>IFERROR(P$5*P$21*P10/100*Parameter!$C54,0)</f>
        <v>0</v>
      </c>
      <c r="Q71" s="92">
        <f t="shared" si="26"/>
        <v>0</v>
      </c>
      <c r="R71" s="93">
        <f t="shared" si="30"/>
        <v>0</v>
      </c>
      <c r="S71" s="406">
        <f>IFERROR(S$5*S$21*S10/100*Parameter!$C54,0)</f>
        <v>0</v>
      </c>
      <c r="T71" s="92">
        <f t="shared" si="26"/>
        <v>0</v>
      </c>
      <c r="U71" s="93">
        <f t="shared" si="33"/>
        <v>0</v>
      </c>
      <c r="V71" s="406">
        <f>IFERROR(V$5*V$21*V10/100*Parameter!$C54,0)</f>
        <v>0</v>
      </c>
      <c r="W71" s="92">
        <f t="shared" si="26"/>
        <v>0</v>
      </c>
      <c r="X71" s="93">
        <f t="shared" si="36"/>
        <v>0</v>
      </c>
      <c r="Y71" s="406">
        <f>IFERROR(Y$5*Y$21*Y10/100*Parameter!$C54,0)</f>
        <v>0</v>
      </c>
      <c r="Z71" s="92">
        <f t="shared" si="26"/>
        <v>0</v>
      </c>
      <c r="AA71" s="93">
        <f t="shared" si="39"/>
        <v>0</v>
      </c>
      <c r="AB71" s="78"/>
      <c r="AC71" s="5"/>
    </row>
    <row r="72" spans="1:33" s="56" customFormat="1" ht="14.25" customHeight="1">
      <c r="A72" s="415" t="s">
        <v>166</v>
      </c>
      <c r="B72" s="394" t="s">
        <v>529</v>
      </c>
      <c r="C72" s="403" t="s">
        <v>60</v>
      </c>
      <c r="D72" s="392" t="s">
        <v>40</v>
      </c>
      <c r="E72" s="880">
        <f>Parameter!$C$91</f>
        <v>20</v>
      </c>
      <c r="F72" s="90" t="s">
        <v>98</v>
      </c>
      <c r="G72" s="91" t="s">
        <v>190</v>
      </c>
      <c r="H72" s="401">
        <f>Parameter!$C$40</f>
        <v>5.3699999999999998E-3</v>
      </c>
      <c r="I72" s="409"/>
      <c r="J72" s="406">
        <f>IFERROR(J$5*J$21*J11/100*Parameter!$C55,0)</f>
        <v>0</v>
      </c>
      <c r="K72" s="92">
        <f t="shared" si="40"/>
        <v>0</v>
      </c>
      <c r="L72" s="93">
        <f t="shared" si="24"/>
        <v>0</v>
      </c>
      <c r="M72" s="406">
        <f>IFERROR(M$5*M$21*M11/100*Parameter!$C55,0)</f>
        <v>0</v>
      </c>
      <c r="N72" s="92">
        <f t="shared" si="26"/>
        <v>0</v>
      </c>
      <c r="O72" s="93">
        <f t="shared" si="27"/>
        <v>0</v>
      </c>
      <c r="P72" s="406">
        <f>IFERROR(P$5*P$21*P11/100*Parameter!$C55,0)</f>
        <v>0</v>
      </c>
      <c r="Q72" s="92">
        <f t="shared" si="26"/>
        <v>0</v>
      </c>
      <c r="R72" s="93">
        <f t="shared" si="30"/>
        <v>0</v>
      </c>
      <c r="S72" s="406">
        <f>IFERROR(S$5*S$21*S11/100*Parameter!$C55,0)</f>
        <v>0</v>
      </c>
      <c r="T72" s="92">
        <f t="shared" si="26"/>
        <v>0</v>
      </c>
      <c r="U72" s="93">
        <f t="shared" si="33"/>
        <v>0</v>
      </c>
      <c r="V72" s="406">
        <f>IFERROR(V$5*V$21*V11/100*Parameter!$C55,0)</f>
        <v>0</v>
      </c>
      <c r="W72" s="92">
        <f t="shared" si="26"/>
        <v>0</v>
      </c>
      <c r="X72" s="93">
        <f t="shared" si="36"/>
        <v>0</v>
      </c>
      <c r="Y72" s="406">
        <f>IFERROR(Y$5*Y$21*Y11/100*Parameter!$C55,0)</f>
        <v>0</v>
      </c>
      <c r="Z72" s="92">
        <f t="shared" si="26"/>
        <v>0</v>
      </c>
      <c r="AA72" s="93">
        <f t="shared" si="39"/>
        <v>0</v>
      </c>
      <c r="AB72" s="78"/>
      <c r="AC72" s="5"/>
    </row>
    <row r="73" spans="1:33" s="56" customFormat="1" ht="14.25" customHeight="1">
      <c r="A73" s="415" t="s">
        <v>166</v>
      </c>
      <c r="B73" s="394" t="s">
        <v>529</v>
      </c>
      <c r="C73" s="403" t="s">
        <v>63</v>
      </c>
      <c r="D73" s="392" t="s">
        <v>40</v>
      </c>
      <c r="E73" s="880">
        <f>Parameter!$C$92</f>
        <v>20</v>
      </c>
      <c r="F73" s="90" t="s">
        <v>98</v>
      </c>
      <c r="G73" s="91" t="s">
        <v>190</v>
      </c>
      <c r="H73" s="401">
        <f>Parameter!$C$40</f>
        <v>5.3699999999999998E-3</v>
      </c>
      <c r="I73" s="409"/>
      <c r="J73" s="406">
        <f>IFERROR(J$5*J$21*J12/100*Parameter!$C56,0)</f>
        <v>0</v>
      </c>
      <c r="K73" s="92">
        <f t="shared" si="40"/>
        <v>0</v>
      </c>
      <c r="L73" s="93">
        <f t="shared" si="24"/>
        <v>0</v>
      </c>
      <c r="M73" s="406">
        <f>IFERROR(M$5*M$21*M12/100*Parameter!$C56,0)</f>
        <v>0</v>
      </c>
      <c r="N73" s="92">
        <f t="shared" si="26"/>
        <v>0</v>
      </c>
      <c r="O73" s="93">
        <f t="shared" si="27"/>
        <v>0</v>
      </c>
      <c r="P73" s="406">
        <f>IFERROR(P$5*P$21*P12/100*Parameter!$C56,0)</f>
        <v>0</v>
      </c>
      <c r="Q73" s="92">
        <f t="shared" si="26"/>
        <v>0</v>
      </c>
      <c r="R73" s="93">
        <f t="shared" si="30"/>
        <v>0</v>
      </c>
      <c r="S73" s="406">
        <f>IFERROR(S$5*S$21*S12/100*Parameter!$C56,0)</f>
        <v>0</v>
      </c>
      <c r="T73" s="92">
        <f t="shared" si="26"/>
        <v>0</v>
      </c>
      <c r="U73" s="93">
        <f t="shared" si="33"/>
        <v>0</v>
      </c>
      <c r="V73" s="406">
        <f>IFERROR(V$5*V$21*V12/100*Parameter!$C56,0)</f>
        <v>0</v>
      </c>
      <c r="W73" s="92">
        <f t="shared" si="26"/>
        <v>0</v>
      </c>
      <c r="X73" s="93">
        <f t="shared" si="36"/>
        <v>0</v>
      </c>
      <c r="Y73" s="406">
        <f>IFERROR(Y$5*Y$21*Y12/100*Parameter!$C56,0)</f>
        <v>0</v>
      </c>
      <c r="Z73" s="92">
        <f t="shared" si="26"/>
        <v>0</v>
      </c>
      <c r="AA73" s="93">
        <f t="shared" si="39"/>
        <v>0</v>
      </c>
      <c r="AB73" s="78"/>
    </row>
    <row r="74" spans="1:33" s="56" customFormat="1" ht="14.25" customHeight="1">
      <c r="A74" s="455" t="s">
        <v>166</v>
      </c>
      <c r="B74" s="456" t="s">
        <v>529</v>
      </c>
      <c r="C74" s="457" t="s">
        <v>65</v>
      </c>
      <c r="D74" s="457" t="s">
        <v>40</v>
      </c>
      <c r="E74" s="454">
        <f>Parameter!$C$93</f>
        <v>20</v>
      </c>
      <c r="F74" s="210" t="s">
        <v>98</v>
      </c>
      <c r="G74" s="211" t="s">
        <v>190</v>
      </c>
      <c r="H74" s="402">
        <f>Parameter!$C$40</f>
        <v>5.3699999999999998E-3</v>
      </c>
      <c r="I74" s="456"/>
      <c r="J74" s="460">
        <f>IFERROR(J$5*J$21*J13/100*Parameter!$C57,0)</f>
        <v>0</v>
      </c>
      <c r="K74" s="212">
        <f t="shared" si="40"/>
        <v>0</v>
      </c>
      <c r="L74" s="213">
        <f t="shared" si="24"/>
        <v>0</v>
      </c>
      <c r="M74" s="406">
        <f>IFERROR(M$5*M$21*M13/100*Parameter!$C57,0)</f>
        <v>0</v>
      </c>
      <c r="N74" s="212">
        <f t="shared" si="26"/>
        <v>0</v>
      </c>
      <c r="O74" s="213">
        <f t="shared" si="27"/>
        <v>0</v>
      </c>
      <c r="P74" s="406">
        <f>IFERROR(P$5*P$21*P13/100*Parameter!$C57,0)</f>
        <v>0</v>
      </c>
      <c r="Q74" s="212">
        <f t="shared" si="26"/>
        <v>0</v>
      </c>
      <c r="R74" s="213">
        <f t="shared" si="30"/>
        <v>0</v>
      </c>
      <c r="S74" s="406">
        <f>IFERROR(S$5*S$21*S13/100*Parameter!$C57,0)</f>
        <v>0</v>
      </c>
      <c r="T74" s="212">
        <f t="shared" si="26"/>
        <v>0</v>
      </c>
      <c r="U74" s="213">
        <f t="shared" si="33"/>
        <v>0</v>
      </c>
      <c r="V74" s="406">
        <f>IFERROR(V$5*V$21*V13/100*Parameter!$C57,0)</f>
        <v>0</v>
      </c>
      <c r="W74" s="212">
        <f t="shared" si="26"/>
        <v>0</v>
      </c>
      <c r="X74" s="213">
        <f t="shared" si="36"/>
        <v>0</v>
      </c>
      <c r="Y74" s="406">
        <f>IFERROR(Y$5*Y$21*Y13/100*Parameter!$C57,0)</f>
        <v>0</v>
      </c>
      <c r="Z74" s="212">
        <f t="shared" si="26"/>
        <v>0</v>
      </c>
      <c r="AA74" s="213">
        <f t="shared" si="39"/>
        <v>0</v>
      </c>
      <c r="AB74" s="78"/>
    </row>
    <row r="75" spans="1:33" s="56" customFormat="1" ht="14.25" customHeight="1">
      <c r="A75" s="453" t="s">
        <v>166</v>
      </c>
      <c r="B75" s="405" t="s">
        <v>288</v>
      </c>
      <c r="C75" s="403" t="s">
        <v>63</v>
      </c>
      <c r="D75" s="403" t="s">
        <v>190</v>
      </c>
      <c r="E75" s="883">
        <f>Parameter!$C$94</f>
        <v>3500</v>
      </c>
      <c r="F75" s="144" t="s">
        <v>98</v>
      </c>
      <c r="G75" s="103" t="s">
        <v>190</v>
      </c>
      <c r="H75" s="411">
        <v>1</v>
      </c>
      <c r="I75" s="405"/>
      <c r="J75" s="406">
        <f>IFERROR(J5*J21*J12/100*Parameter!$C$58,0)</f>
        <v>0</v>
      </c>
      <c r="K75" s="104">
        <f t="shared" si="40"/>
        <v>0</v>
      </c>
      <c r="L75" s="105">
        <f t="shared" si="24"/>
        <v>0</v>
      </c>
      <c r="M75" s="406">
        <f>IFERROR(M5*M21*M12/100*Parameter!$C$58,0)</f>
        <v>0</v>
      </c>
      <c r="N75" s="104">
        <f t="shared" si="26"/>
        <v>0</v>
      </c>
      <c r="O75" s="105">
        <f t="shared" si="27"/>
        <v>0</v>
      </c>
      <c r="P75" s="406">
        <f>IFERROR(P5*P21*P12/100*Parameter!$C$58,0)</f>
        <v>0</v>
      </c>
      <c r="Q75" s="104">
        <f t="shared" si="26"/>
        <v>0</v>
      </c>
      <c r="R75" s="105">
        <f t="shared" si="30"/>
        <v>0</v>
      </c>
      <c r="S75" s="406">
        <f>IFERROR(S5*S21*S12/100*Parameter!$C$58,0)</f>
        <v>0</v>
      </c>
      <c r="T75" s="104">
        <f t="shared" si="26"/>
        <v>0</v>
      </c>
      <c r="U75" s="105">
        <f t="shared" si="33"/>
        <v>0</v>
      </c>
      <c r="V75" s="406">
        <f>IFERROR(V5*V21*V12/100*Parameter!$C$58,0)</f>
        <v>0</v>
      </c>
      <c r="W75" s="104">
        <f t="shared" si="26"/>
        <v>0</v>
      </c>
      <c r="X75" s="105">
        <f t="shared" si="36"/>
        <v>0</v>
      </c>
      <c r="Y75" s="406">
        <f>IFERROR(Y5*Y21*Y12/100*Parameter!$C$58,0)</f>
        <v>0</v>
      </c>
      <c r="Z75" s="104">
        <f t="shared" si="26"/>
        <v>0</v>
      </c>
      <c r="AA75" s="105">
        <f t="shared" si="39"/>
        <v>0</v>
      </c>
      <c r="AB75" s="78"/>
    </row>
    <row r="76" spans="1:33" s="56" customFormat="1" ht="14.25" customHeight="1">
      <c r="A76" s="453" t="s">
        <v>166</v>
      </c>
      <c r="B76" s="405" t="s">
        <v>288</v>
      </c>
      <c r="C76" s="407" t="s">
        <v>65</v>
      </c>
      <c r="D76" s="407" t="s">
        <v>190</v>
      </c>
      <c r="E76" s="879">
        <f>Parameter!$C$94</f>
        <v>3500</v>
      </c>
      <c r="F76" s="146" t="s">
        <v>98</v>
      </c>
      <c r="G76" s="117" t="s">
        <v>190</v>
      </c>
      <c r="H76" s="412">
        <v>1</v>
      </c>
      <c r="I76" s="409"/>
      <c r="J76" s="406">
        <f>IFERROR(J5*J21*J13/100*Parameter!$C$59,0)</f>
        <v>0</v>
      </c>
      <c r="K76" s="104">
        <f t="shared" si="40"/>
        <v>0</v>
      </c>
      <c r="L76" s="105">
        <f t="shared" si="24"/>
        <v>0</v>
      </c>
      <c r="M76" s="406">
        <f>IFERROR(M5*M21*M13/100*Parameter!$C$59,0)</f>
        <v>0</v>
      </c>
      <c r="N76" s="104">
        <f t="shared" si="26"/>
        <v>0</v>
      </c>
      <c r="O76" s="105">
        <f t="shared" si="27"/>
        <v>0</v>
      </c>
      <c r="P76" s="406">
        <f>IFERROR(P5*P21*P13/100*Parameter!$C$59,0)</f>
        <v>0</v>
      </c>
      <c r="Q76" s="104">
        <f t="shared" si="26"/>
        <v>0</v>
      </c>
      <c r="R76" s="105">
        <f t="shared" si="30"/>
        <v>0</v>
      </c>
      <c r="S76" s="406">
        <f>IFERROR(S5*S21*S13/100*Parameter!$C$59,0)</f>
        <v>0</v>
      </c>
      <c r="T76" s="104">
        <f t="shared" si="26"/>
        <v>0</v>
      </c>
      <c r="U76" s="105">
        <f t="shared" si="33"/>
        <v>0</v>
      </c>
      <c r="V76" s="406">
        <f>IFERROR(V5*V21*V13/100*Parameter!$C$59,0)</f>
        <v>0</v>
      </c>
      <c r="W76" s="104">
        <f t="shared" si="26"/>
        <v>0</v>
      </c>
      <c r="X76" s="105">
        <f t="shared" si="36"/>
        <v>0</v>
      </c>
      <c r="Y76" s="406">
        <f>IFERROR(Y5*Y21*Y13/100*Parameter!$C$59,0)</f>
        <v>0</v>
      </c>
      <c r="Z76" s="104">
        <f t="shared" si="26"/>
        <v>0</v>
      </c>
      <c r="AA76" s="105">
        <f t="shared" si="39"/>
        <v>0</v>
      </c>
      <c r="AB76" s="78"/>
    </row>
    <row r="77" spans="1:33" s="56" customFormat="1" ht="14.25" customHeight="1">
      <c r="A77" s="413" t="s">
        <v>168</v>
      </c>
      <c r="B77" s="448"/>
      <c r="C77" s="446" t="s">
        <v>5</v>
      </c>
      <c r="D77" s="124" t="s">
        <v>461</v>
      </c>
      <c r="E77" s="451">
        <f>Parameter!$C$95</f>
        <v>100</v>
      </c>
      <c r="F77" s="145" t="s">
        <v>192</v>
      </c>
      <c r="G77" s="124" t="s">
        <v>461</v>
      </c>
      <c r="H77" s="447">
        <v>1</v>
      </c>
      <c r="I77" s="448"/>
      <c r="J77" s="449">
        <f>IF(J32="Vollabdichtung",J5*J21,IF(J32="Teilabdichtung",J5*J21*Parameter!$C$43/100,0))</f>
        <v>0</v>
      </c>
      <c r="K77" s="127">
        <f t="shared" si="40"/>
        <v>0</v>
      </c>
      <c r="L77" s="128">
        <f t="shared" si="24"/>
        <v>0</v>
      </c>
      <c r="M77" s="449">
        <f>IF(M32="Vollabdichtung",M5*M21,IF(M32="Teilabdichtung",M5*M21*Parameter!$C$43/100,0))</f>
        <v>0</v>
      </c>
      <c r="N77" s="127">
        <f t="shared" si="26"/>
        <v>0</v>
      </c>
      <c r="O77" s="128">
        <f t="shared" si="27"/>
        <v>0</v>
      </c>
      <c r="P77" s="449">
        <f>IF(P32="Vollabdichtung",P5*P21,IF(P32="Teilabdichtung",P5*P21*Parameter!$C$43/100,0))</f>
        <v>0</v>
      </c>
      <c r="Q77" s="127">
        <f t="shared" si="26"/>
        <v>0</v>
      </c>
      <c r="R77" s="128">
        <f t="shared" si="30"/>
        <v>0</v>
      </c>
      <c r="S77" s="449">
        <f>IF(S32="Vollabdichtung",S5*S21,IF(S32="Teilabdichtung",S5*S21*Parameter!$C$43/100,0))</f>
        <v>0</v>
      </c>
      <c r="T77" s="127">
        <f t="shared" si="26"/>
        <v>0</v>
      </c>
      <c r="U77" s="128">
        <f t="shared" si="33"/>
        <v>0</v>
      </c>
      <c r="V77" s="449">
        <f>IF(V32="Vollabdichtung",V5*V21,IF(V32="Teilabdichtung",V5*V21*Parameter!$C$43/100,0))</f>
        <v>0</v>
      </c>
      <c r="W77" s="127">
        <f t="shared" si="26"/>
        <v>0</v>
      </c>
      <c r="X77" s="128">
        <f t="shared" si="36"/>
        <v>0</v>
      </c>
      <c r="Y77" s="449">
        <f>IF(Y32="Vollabdichtung",Y5*Y21,IF(Y32="Teilabdichtung",Y5*Y21*Parameter!$C$43/100,0))</f>
        <v>0</v>
      </c>
      <c r="Z77" s="127">
        <f t="shared" si="26"/>
        <v>0</v>
      </c>
      <c r="AA77" s="128">
        <f t="shared" si="39"/>
        <v>0</v>
      </c>
      <c r="AB77" s="78"/>
    </row>
    <row r="78" spans="1:33" s="56" customFormat="1" ht="14.25" customHeight="1">
      <c r="A78" s="414" t="s">
        <v>497</v>
      </c>
      <c r="B78" s="390" t="s">
        <v>191</v>
      </c>
      <c r="C78" s="388" t="s">
        <v>5</v>
      </c>
      <c r="D78" s="403" t="s">
        <v>516</v>
      </c>
      <c r="E78" s="129">
        <f>Parameter!$C$96</f>
        <v>300</v>
      </c>
      <c r="F78" s="114" t="s">
        <v>191</v>
      </c>
      <c r="G78" s="403" t="s">
        <v>516</v>
      </c>
      <c r="H78" s="389">
        <v>1</v>
      </c>
      <c r="I78" s="390"/>
      <c r="J78" s="391">
        <f>IFERROR(J5*(J22-J31),0)</f>
        <v>0</v>
      </c>
      <c r="K78" s="108">
        <f t="shared" si="40"/>
        <v>0</v>
      </c>
      <c r="L78" s="109">
        <f t="shared" si="24"/>
        <v>0</v>
      </c>
      <c r="M78" s="391">
        <f t="shared" ref="M78" si="66">IFERROR(M5*(M22-M31),0)</f>
        <v>0</v>
      </c>
      <c r="N78" s="108">
        <f t="shared" si="26"/>
        <v>0</v>
      </c>
      <c r="O78" s="109">
        <f t="shared" si="27"/>
        <v>0</v>
      </c>
      <c r="P78" s="391">
        <f t="shared" ref="P78" si="67">IFERROR(P5*(P22-P31),0)</f>
        <v>0</v>
      </c>
      <c r="Q78" s="108">
        <f t="shared" si="26"/>
        <v>0</v>
      </c>
      <c r="R78" s="109">
        <f t="shared" si="30"/>
        <v>0</v>
      </c>
      <c r="S78" s="391">
        <f t="shared" ref="S78" si="68">IFERROR(S5*(S22-S31),0)</f>
        <v>0</v>
      </c>
      <c r="T78" s="108">
        <f t="shared" si="26"/>
        <v>0</v>
      </c>
      <c r="U78" s="109">
        <f t="shared" si="33"/>
        <v>0</v>
      </c>
      <c r="V78" s="391">
        <f t="shared" ref="V78" si="69">IFERROR(V5*(V22-V31),0)</f>
        <v>0</v>
      </c>
      <c r="W78" s="108">
        <f t="shared" si="26"/>
        <v>0</v>
      </c>
      <c r="X78" s="109">
        <f t="shared" si="36"/>
        <v>0</v>
      </c>
      <c r="Y78" s="391">
        <f t="shared" ref="Y78" si="70">IFERROR(Y5*(Y22-Y31),0)</f>
        <v>0</v>
      </c>
      <c r="Z78" s="108">
        <f t="shared" si="26"/>
        <v>0</v>
      </c>
      <c r="AA78" s="109">
        <f t="shared" si="39"/>
        <v>0</v>
      </c>
      <c r="AB78" s="78"/>
    </row>
    <row r="79" spans="1:33" ht="14.25" customHeight="1">
      <c r="A79" s="415" t="s">
        <v>497</v>
      </c>
      <c r="B79" s="394" t="s">
        <v>532</v>
      </c>
      <c r="C79" s="392" t="s">
        <v>5</v>
      </c>
      <c r="D79" s="392" t="s">
        <v>516</v>
      </c>
      <c r="E79" s="95">
        <f>Parameter!$C$97</f>
        <v>200</v>
      </c>
      <c r="F79" s="94" t="s">
        <v>191</v>
      </c>
      <c r="G79" s="392" t="s">
        <v>516</v>
      </c>
      <c r="H79" s="393">
        <v>1</v>
      </c>
      <c r="I79" s="394"/>
      <c r="J79" s="395">
        <f>IFERROR(J$5*((J$33-J$34)*Parameter!$C$44/100+J$34),0)</f>
        <v>0</v>
      </c>
      <c r="K79" s="92">
        <f t="shared" si="40"/>
        <v>0</v>
      </c>
      <c r="L79" s="93">
        <f t="shared" si="24"/>
        <v>0</v>
      </c>
      <c r="M79" s="395">
        <f>IFERROR(M$5*((M$33-M$34)*Parameter!$C$44/100+M$34),0)</f>
        <v>0</v>
      </c>
      <c r="N79" s="92">
        <f t="shared" si="26"/>
        <v>0</v>
      </c>
      <c r="O79" s="93">
        <f t="shared" si="27"/>
        <v>0</v>
      </c>
      <c r="P79" s="395">
        <f>IFERROR(P$5*((P$33-P$34)*Parameter!$C$44/100+P$34),0)</f>
        <v>0</v>
      </c>
      <c r="Q79" s="92">
        <f t="shared" si="26"/>
        <v>0</v>
      </c>
      <c r="R79" s="93">
        <f t="shared" si="30"/>
        <v>0</v>
      </c>
      <c r="S79" s="395">
        <f>IFERROR(S$5*((S$33-S$34)*Parameter!$C$44/100+S$34),0)</f>
        <v>0</v>
      </c>
      <c r="T79" s="92">
        <f t="shared" si="26"/>
        <v>0</v>
      </c>
      <c r="U79" s="93">
        <f t="shared" si="33"/>
        <v>0</v>
      </c>
      <c r="V79" s="395">
        <f>IFERROR(V$5*((V$33-V$34)*Parameter!$C$44/100+V$34),0)</f>
        <v>0</v>
      </c>
      <c r="W79" s="92">
        <f t="shared" si="26"/>
        <v>0</v>
      </c>
      <c r="X79" s="93">
        <f t="shared" si="36"/>
        <v>0</v>
      </c>
      <c r="Y79" s="395">
        <f>IFERROR(Y$5*((Y$33-Y$34)*Parameter!$C$44/100+Y$34),0)</f>
        <v>0</v>
      </c>
      <c r="Z79" s="92">
        <f t="shared" si="26"/>
        <v>0</v>
      </c>
      <c r="AA79" s="93">
        <f t="shared" si="39"/>
        <v>0</v>
      </c>
      <c r="AB79" s="10"/>
      <c r="AC79" s="56"/>
      <c r="AD79" s="56"/>
      <c r="AE79" s="56"/>
      <c r="AF79" s="56"/>
      <c r="AG79" s="56"/>
    </row>
    <row r="80" spans="1:33" ht="14.25" customHeight="1">
      <c r="A80" s="415" t="s">
        <v>497</v>
      </c>
      <c r="B80" s="394" t="s">
        <v>533</v>
      </c>
      <c r="C80" s="392" t="s">
        <v>5</v>
      </c>
      <c r="D80" s="392" t="s">
        <v>516</v>
      </c>
      <c r="E80" s="95">
        <f>Parameter!$C$98</f>
        <v>20</v>
      </c>
      <c r="F80" s="94" t="s">
        <v>100</v>
      </c>
      <c r="G80" s="392" t="s">
        <v>516</v>
      </c>
      <c r="H80" s="393">
        <v>1</v>
      </c>
      <c r="I80" s="394"/>
      <c r="J80" s="395">
        <f>IFERROR(J$5*J$33-J$79,0)</f>
        <v>0</v>
      </c>
      <c r="K80" s="92">
        <f t="shared" si="40"/>
        <v>0</v>
      </c>
      <c r="L80" s="93">
        <f t="shared" si="24"/>
        <v>0</v>
      </c>
      <c r="M80" s="395">
        <f t="shared" ref="M80" si="71">IFERROR(M$5*M$33-M$79,0)</f>
        <v>0</v>
      </c>
      <c r="N80" s="92">
        <f t="shared" ref="N80:Z87" si="72">ROUND($E80*M80,)</f>
        <v>0</v>
      </c>
      <c r="O80" s="93">
        <f t="shared" si="27"/>
        <v>0</v>
      </c>
      <c r="P80" s="395">
        <f t="shared" ref="P80" si="73">IFERROR(P$5*P$33-P$79,0)</f>
        <v>0</v>
      </c>
      <c r="Q80" s="92">
        <f t="shared" si="72"/>
        <v>0</v>
      </c>
      <c r="R80" s="93">
        <f t="shared" si="30"/>
        <v>0</v>
      </c>
      <c r="S80" s="395">
        <f t="shared" ref="S80" si="74">IFERROR(S$5*S$33-S$79,0)</f>
        <v>0</v>
      </c>
      <c r="T80" s="92">
        <f t="shared" si="72"/>
        <v>0</v>
      </c>
      <c r="U80" s="93">
        <f t="shared" si="33"/>
        <v>0</v>
      </c>
      <c r="V80" s="395">
        <f t="shared" ref="V80" si="75">IFERROR(V$5*V$33-V$79,0)</f>
        <v>0</v>
      </c>
      <c r="W80" s="92">
        <f t="shared" si="72"/>
        <v>0</v>
      </c>
      <c r="X80" s="93">
        <f t="shared" si="36"/>
        <v>0</v>
      </c>
      <c r="Y80" s="395">
        <f t="shared" ref="Y80" si="76">IFERROR(Y$5*Y$33-Y$79,0)</f>
        <v>0</v>
      </c>
      <c r="Z80" s="92">
        <f t="shared" si="72"/>
        <v>0</v>
      </c>
      <c r="AA80" s="93">
        <f t="shared" si="39"/>
        <v>0</v>
      </c>
      <c r="AB80" s="10"/>
    </row>
    <row r="81" spans="1:28" ht="14.25" customHeight="1">
      <c r="A81" s="579" t="s">
        <v>497</v>
      </c>
      <c r="B81" s="409" t="s">
        <v>534</v>
      </c>
      <c r="C81" s="407" t="s">
        <v>5</v>
      </c>
      <c r="D81" s="457" t="s">
        <v>348</v>
      </c>
      <c r="E81" s="120">
        <f>Parameter!$C$99</f>
        <v>2.5</v>
      </c>
      <c r="F81" s="116" t="s">
        <v>98</v>
      </c>
      <c r="G81" s="117" t="s">
        <v>190</v>
      </c>
      <c r="H81" s="445">
        <f>1/1000</f>
        <v>1E-3</v>
      </c>
      <c r="I81" s="409"/>
      <c r="J81" s="410">
        <f>IFERROR(J$34*J$5*Parameter!$C$45,0)</f>
        <v>0</v>
      </c>
      <c r="K81" s="118">
        <f t="shared" si="40"/>
        <v>0</v>
      </c>
      <c r="L81" s="119">
        <f t="shared" si="24"/>
        <v>0</v>
      </c>
      <c r="M81" s="410">
        <f>IFERROR(M$34*M$5*Parameter!$C$45,0)</f>
        <v>0</v>
      </c>
      <c r="N81" s="118">
        <f t="shared" si="72"/>
        <v>0</v>
      </c>
      <c r="O81" s="119">
        <f t="shared" si="27"/>
        <v>0</v>
      </c>
      <c r="P81" s="410">
        <f>IFERROR(P$34*P$5*Parameter!$C$45,0)</f>
        <v>0</v>
      </c>
      <c r="Q81" s="118">
        <f t="shared" si="72"/>
        <v>0</v>
      </c>
      <c r="R81" s="119">
        <f t="shared" si="30"/>
        <v>0</v>
      </c>
      <c r="S81" s="410">
        <f>IFERROR(S$34*S$5*Parameter!$C$45,0)</f>
        <v>0</v>
      </c>
      <c r="T81" s="118">
        <f t="shared" si="72"/>
        <v>0</v>
      </c>
      <c r="U81" s="119">
        <f t="shared" si="33"/>
        <v>0</v>
      </c>
      <c r="V81" s="410">
        <f>IFERROR(V$34*V$5*Parameter!$C$45,0)</f>
        <v>0</v>
      </c>
      <c r="W81" s="118">
        <f t="shared" si="72"/>
        <v>0</v>
      </c>
      <c r="X81" s="119">
        <f t="shared" si="36"/>
        <v>0</v>
      </c>
      <c r="Y81" s="410">
        <f>IFERROR(Y$34*Y$5*Parameter!$C$45,0)</f>
        <v>0</v>
      </c>
      <c r="Z81" s="118">
        <f t="shared" si="72"/>
        <v>0</v>
      </c>
      <c r="AA81" s="119">
        <f t="shared" si="39"/>
        <v>0</v>
      </c>
      <c r="AB81" s="10"/>
    </row>
    <row r="82" spans="1:28" s="56" customFormat="1" ht="14.25" customHeight="1">
      <c r="A82" s="816" t="s">
        <v>104</v>
      </c>
      <c r="B82" s="533" t="s">
        <v>508</v>
      </c>
      <c r="C82" s="535" t="s">
        <v>5</v>
      </c>
      <c r="D82" s="403" t="s">
        <v>516</v>
      </c>
      <c r="E82" s="534">
        <f>Parameter!$C$100</f>
        <v>5</v>
      </c>
      <c r="F82" s="533"/>
      <c r="G82" s="535" t="s">
        <v>5</v>
      </c>
      <c r="H82" s="533"/>
      <c r="I82" s="533"/>
      <c r="J82" s="536">
        <f>IFERROR(J$53*J36/100,0)</f>
        <v>0</v>
      </c>
      <c r="K82" s="574">
        <f>ROUND($E82*J82,)</f>
        <v>0</v>
      </c>
      <c r="L82" s="575"/>
      <c r="M82" s="536">
        <f t="shared" ref="M82:Y86" si="77">IFERROR(M$53*M36/100,0)</f>
        <v>0</v>
      </c>
      <c r="N82" s="574">
        <f t="shared" si="72"/>
        <v>0</v>
      </c>
      <c r="O82" s="575"/>
      <c r="P82" s="536">
        <f t="shared" ref="P82" si="78">IFERROR(P$53*P36/100,0)</f>
        <v>0</v>
      </c>
      <c r="Q82" s="574">
        <f t="shared" si="72"/>
        <v>0</v>
      </c>
      <c r="R82" s="575"/>
      <c r="S82" s="536">
        <f t="shared" ref="S82" si="79">IFERROR(S$53*S36/100,0)</f>
        <v>0</v>
      </c>
      <c r="T82" s="574">
        <f t="shared" si="72"/>
        <v>0</v>
      </c>
      <c r="U82" s="575"/>
      <c r="V82" s="536">
        <f t="shared" ref="V82" si="80">IFERROR(V$53*V36/100,0)</f>
        <v>0</v>
      </c>
      <c r="W82" s="574">
        <f t="shared" si="72"/>
        <v>0</v>
      </c>
      <c r="X82" s="575"/>
      <c r="Y82" s="536">
        <f t="shared" ref="Y82" si="81">IFERROR(Y$53*Y36/100,0)</f>
        <v>0</v>
      </c>
      <c r="Z82" s="574">
        <f t="shared" si="72"/>
        <v>0</v>
      </c>
      <c r="AA82" s="575"/>
      <c r="AB82" s="78"/>
    </row>
    <row r="83" spans="1:28" s="56" customFormat="1" ht="14.25" customHeight="1">
      <c r="A83" s="817" t="s">
        <v>104</v>
      </c>
      <c r="B83" s="537" t="s">
        <v>509</v>
      </c>
      <c r="C83" s="539" t="s">
        <v>5</v>
      </c>
      <c r="D83" s="392" t="s">
        <v>516</v>
      </c>
      <c r="E83" s="538">
        <f>Parameter!$C$101</f>
        <v>-20</v>
      </c>
      <c r="F83" s="537"/>
      <c r="G83" s="539" t="s">
        <v>5</v>
      </c>
      <c r="H83" s="537"/>
      <c r="I83" s="537"/>
      <c r="J83" s="541">
        <f t="shared" ref="J83:J86" si="82">IFERROR(J$53*J37/100,0)</f>
        <v>0</v>
      </c>
      <c r="K83" s="279">
        <f t="shared" ref="K83:K87" si="83">ROUND($E83*J83,)</f>
        <v>0</v>
      </c>
      <c r="L83" s="540"/>
      <c r="M83" s="541">
        <f t="shared" si="77"/>
        <v>0</v>
      </c>
      <c r="N83" s="279">
        <f t="shared" si="72"/>
        <v>0</v>
      </c>
      <c r="O83" s="540"/>
      <c r="P83" s="541">
        <f t="shared" si="77"/>
        <v>0</v>
      </c>
      <c r="Q83" s="279">
        <f t="shared" si="72"/>
        <v>0</v>
      </c>
      <c r="R83" s="540"/>
      <c r="S83" s="541">
        <f t="shared" si="77"/>
        <v>0</v>
      </c>
      <c r="T83" s="279">
        <f t="shared" si="72"/>
        <v>0</v>
      </c>
      <c r="U83" s="540"/>
      <c r="V83" s="541">
        <f t="shared" si="77"/>
        <v>0</v>
      </c>
      <c r="W83" s="279">
        <f t="shared" si="72"/>
        <v>0</v>
      </c>
      <c r="X83" s="540"/>
      <c r="Y83" s="541">
        <f t="shared" si="77"/>
        <v>0</v>
      </c>
      <c r="Z83" s="279">
        <f t="shared" si="72"/>
        <v>0</v>
      </c>
      <c r="AA83" s="540"/>
      <c r="AB83" s="78"/>
    </row>
    <row r="84" spans="1:28" s="56" customFormat="1" ht="14.25" customHeight="1">
      <c r="A84" s="817" t="s">
        <v>104</v>
      </c>
      <c r="B84" s="537" t="s">
        <v>510</v>
      </c>
      <c r="C84" s="539" t="s">
        <v>5</v>
      </c>
      <c r="D84" s="392" t="s">
        <v>516</v>
      </c>
      <c r="E84" s="538">
        <f>Parameter!$C$102</f>
        <v>-20</v>
      </c>
      <c r="F84" s="537"/>
      <c r="G84" s="539" t="s">
        <v>5</v>
      </c>
      <c r="H84" s="537"/>
      <c r="I84" s="537"/>
      <c r="J84" s="541">
        <f t="shared" si="82"/>
        <v>0</v>
      </c>
      <c r="K84" s="279">
        <f t="shared" si="83"/>
        <v>0</v>
      </c>
      <c r="L84" s="540"/>
      <c r="M84" s="541">
        <f t="shared" si="77"/>
        <v>0</v>
      </c>
      <c r="N84" s="279">
        <f t="shared" si="72"/>
        <v>0</v>
      </c>
      <c r="O84" s="540"/>
      <c r="P84" s="541">
        <f t="shared" si="77"/>
        <v>0</v>
      </c>
      <c r="Q84" s="279">
        <f t="shared" si="72"/>
        <v>0</v>
      </c>
      <c r="R84" s="540"/>
      <c r="S84" s="541">
        <f t="shared" si="77"/>
        <v>0</v>
      </c>
      <c r="T84" s="279">
        <f t="shared" si="72"/>
        <v>0</v>
      </c>
      <c r="U84" s="540"/>
      <c r="V84" s="541">
        <f t="shared" si="77"/>
        <v>0</v>
      </c>
      <c r="W84" s="279">
        <f t="shared" si="72"/>
        <v>0</v>
      </c>
      <c r="X84" s="540"/>
      <c r="Y84" s="541">
        <f t="shared" si="77"/>
        <v>0</v>
      </c>
      <c r="Z84" s="279">
        <f t="shared" si="72"/>
        <v>0</v>
      </c>
      <c r="AA84" s="540"/>
      <c r="AB84" s="78"/>
    </row>
    <row r="85" spans="1:28" s="56" customFormat="1" ht="14.25" customHeight="1">
      <c r="A85" s="817" t="s">
        <v>104</v>
      </c>
      <c r="B85" s="537" t="s">
        <v>511</v>
      </c>
      <c r="C85" s="539" t="s">
        <v>5</v>
      </c>
      <c r="D85" s="392" t="s">
        <v>516</v>
      </c>
      <c r="E85" s="538">
        <f>Parameter!$C$103</f>
        <v>15</v>
      </c>
      <c r="F85" s="537"/>
      <c r="G85" s="539" t="s">
        <v>5</v>
      </c>
      <c r="H85" s="537"/>
      <c r="I85" s="537"/>
      <c r="J85" s="552">
        <f t="shared" si="82"/>
        <v>0</v>
      </c>
      <c r="K85" s="279">
        <f t="shared" si="83"/>
        <v>0</v>
      </c>
      <c r="L85" s="540"/>
      <c r="M85" s="552">
        <f t="shared" si="77"/>
        <v>0</v>
      </c>
      <c r="N85" s="279">
        <f t="shared" si="72"/>
        <v>0</v>
      </c>
      <c r="O85" s="540"/>
      <c r="P85" s="552">
        <f t="shared" si="77"/>
        <v>0</v>
      </c>
      <c r="Q85" s="279">
        <f t="shared" si="72"/>
        <v>0</v>
      </c>
      <c r="R85" s="540"/>
      <c r="S85" s="552">
        <f t="shared" si="77"/>
        <v>0</v>
      </c>
      <c r="T85" s="279">
        <f t="shared" si="72"/>
        <v>0</v>
      </c>
      <c r="U85" s="540"/>
      <c r="V85" s="552">
        <f t="shared" si="77"/>
        <v>0</v>
      </c>
      <c r="W85" s="279">
        <f t="shared" si="72"/>
        <v>0</v>
      </c>
      <c r="X85" s="540"/>
      <c r="Y85" s="552">
        <f t="shared" si="77"/>
        <v>0</v>
      </c>
      <c r="Z85" s="279">
        <f t="shared" si="72"/>
        <v>0</v>
      </c>
      <c r="AA85" s="540"/>
      <c r="AB85" s="78"/>
    </row>
    <row r="86" spans="1:28" s="56" customFormat="1" ht="14.25" customHeight="1">
      <c r="A86" s="817" t="s">
        <v>104</v>
      </c>
      <c r="B86" s="537" t="s">
        <v>512</v>
      </c>
      <c r="C86" s="539" t="s">
        <v>5</v>
      </c>
      <c r="D86" s="392" t="s">
        <v>516</v>
      </c>
      <c r="E86" s="538">
        <f>Parameter!$C$104</f>
        <v>40</v>
      </c>
      <c r="F86" s="537"/>
      <c r="G86" s="539" t="s">
        <v>5</v>
      </c>
      <c r="H86" s="537"/>
      <c r="I86" s="537"/>
      <c r="J86" s="552">
        <f t="shared" si="82"/>
        <v>0</v>
      </c>
      <c r="K86" s="279">
        <f t="shared" si="83"/>
        <v>0</v>
      </c>
      <c r="L86" s="540"/>
      <c r="M86" s="552">
        <f t="shared" si="77"/>
        <v>0</v>
      </c>
      <c r="N86" s="279">
        <f t="shared" si="72"/>
        <v>0</v>
      </c>
      <c r="O86" s="540"/>
      <c r="P86" s="552">
        <f t="shared" si="77"/>
        <v>0</v>
      </c>
      <c r="Q86" s="279">
        <f t="shared" si="72"/>
        <v>0</v>
      </c>
      <c r="R86" s="540"/>
      <c r="S86" s="552">
        <f t="shared" si="77"/>
        <v>0</v>
      </c>
      <c r="T86" s="279">
        <f t="shared" si="72"/>
        <v>0</v>
      </c>
      <c r="U86" s="540"/>
      <c r="V86" s="552">
        <f t="shared" si="77"/>
        <v>0</v>
      </c>
      <c r="W86" s="279">
        <f t="shared" si="72"/>
        <v>0</v>
      </c>
      <c r="X86" s="540"/>
      <c r="Y86" s="552">
        <f t="shared" si="77"/>
        <v>0</v>
      </c>
      <c r="Z86" s="279">
        <f t="shared" si="72"/>
        <v>0</v>
      </c>
      <c r="AA86" s="540"/>
      <c r="AB86" s="78"/>
    </row>
    <row r="87" spans="1:28" s="56" customFormat="1" ht="14.25" customHeight="1">
      <c r="A87" s="818" t="s">
        <v>104</v>
      </c>
      <c r="B87" s="542" t="s">
        <v>513</v>
      </c>
      <c r="C87" s="544" t="s">
        <v>5</v>
      </c>
      <c r="D87" s="211" t="s">
        <v>526</v>
      </c>
      <c r="E87" s="543">
        <f>Parameter!$C$105</f>
        <v>60</v>
      </c>
      <c r="F87" s="542"/>
      <c r="G87" s="544" t="s">
        <v>5</v>
      </c>
      <c r="H87" s="542"/>
      <c r="I87" s="542"/>
      <c r="J87" s="553">
        <f>IFERROR(J$53*J41/100,0)</f>
        <v>0</v>
      </c>
      <c r="K87" s="577">
        <f t="shared" si="83"/>
        <v>0</v>
      </c>
      <c r="L87" s="545"/>
      <c r="M87" s="553">
        <f t="shared" ref="M87" si="84">IFERROR(M$53*M41/100,0)</f>
        <v>0</v>
      </c>
      <c r="N87" s="577">
        <f t="shared" si="72"/>
        <v>0</v>
      </c>
      <c r="O87" s="545"/>
      <c r="P87" s="553">
        <f t="shared" ref="P87" si="85">IFERROR(P$53*P41/100,0)</f>
        <v>0</v>
      </c>
      <c r="Q87" s="577">
        <f t="shared" si="72"/>
        <v>0</v>
      </c>
      <c r="R87" s="545"/>
      <c r="S87" s="553">
        <f t="shared" ref="S87" si="86">IFERROR(S$53*S41/100,0)</f>
        <v>0</v>
      </c>
      <c r="T87" s="577">
        <f t="shared" si="72"/>
        <v>0</v>
      </c>
      <c r="U87" s="545"/>
      <c r="V87" s="553">
        <f t="shared" ref="V87" si="87">IFERROR(V$53*V41/100,0)</f>
        <v>0</v>
      </c>
      <c r="W87" s="577">
        <f t="shared" si="72"/>
        <v>0</v>
      </c>
      <c r="X87" s="545"/>
      <c r="Y87" s="553">
        <f t="shared" ref="Y87" si="88">IFERROR(Y$53*Y41/100,0)</f>
        <v>0</v>
      </c>
      <c r="Z87" s="577">
        <f t="shared" si="72"/>
        <v>0</v>
      </c>
      <c r="AA87" s="545"/>
      <c r="AB87" s="78"/>
    </row>
    <row r="88" spans="1:28" ht="14.25" customHeight="1">
      <c r="E88" s="50"/>
      <c r="F88" s="50"/>
      <c r="G88" s="53"/>
      <c r="K88" s="820"/>
      <c r="L88" s="825"/>
      <c r="M88" s="820"/>
      <c r="N88" s="825"/>
      <c r="O88" s="820"/>
      <c r="P88" s="825"/>
      <c r="Q88" s="820"/>
      <c r="R88" s="825"/>
      <c r="S88" s="820"/>
      <c r="T88" s="825"/>
      <c r="U88" s="820"/>
      <c r="V88" s="825"/>
    </row>
    <row r="89" spans="1:28" ht="14.25" customHeight="1">
      <c r="E89" s="50"/>
      <c r="F89" s="50"/>
      <c r="G89" s="53"/>
      <c r="K89" s="820"/>
      <c r="L89" s="825"/>
      <c r="M89" s="820"/>
      <c r="N89" s="825"/>
      <c r="O89" s="820"/>
      <c r="P89" s="825"/>
      <c r="Q89" s="820"/>
      <c r="R89" s="825"/>
      <c r="S89" s="820"/>
      <c r="T89" s="825"/>
      <c r="U89" s="820"/>
      <c r="V89" s="825"/>
    </row>
    <row r="90" spans="1:28" ht="14.25" customHeight="1">
      <c r="E90" s="50"/>
      <c r="F90" s="50"/>
      <c r="G90" s="53"/>
      <c r="K90" s="820"/>
      <c r="L90" s="271"/>
      <c r="M90" s="820"/>
      <c r="N90" s="271"/>
      <c r="O90" s="820"/>
      <c r="P90" s="271"/>
      <c r="Q90" s="820"/>
      <c r="R90" s="271"/>
      <c r="S90" s="820"/>
      <c r="T90" s="271"/>
      <c r="U90" s="820"/>
      <c r="V90" s="271"/>
    </row>
    <row r="91" spans="1:28" ht="14.25" customHeight="1">
      <c r="E91" s="50"/>
      <c r="F91" s="50"/>
      <c r="G91" s="53"/>
      <c r="K91" s="820"/>
      <c r="L91" s="271"/>
      <c r="M91" s="820"/>
      <c r="N91" s="271"/>
      <c r="O91" s="820"/>
      <c r="P91" s="271"/>
      <c r="Q91" s="820"/>
      <c r="R91" s="271"/>
      <c r="S91" s="820"/>
      <c r="T91" s="271"/>
      <c r="U91" s="820"/>
      <c r="V91" s="271"/>
    </row>
    <row r="92" spans="1:28" ht="14.25" customHeight="1">
      <c r="E92" s="50"/>
      <c r="F92" s="50"/>
      <c r="G92" s="53"/>
      <c r="K92" s="820"/>
      <c r="L92" s="271"/>
      <c r="M92" s="820"/>
      <c r="N92" s="271"/>
      <c r="O92" s="820"/>
      <c r="P92" s="271"/>
      <c r="Q92" s="820"/>
      <c r="R92" s="271"/>
      <c r="S92" s="820"/>
      <c r="T92" s="271"/>
      <c r="U92" s="820"/>
      <c r="V92" s="271"/>
    </row>
    <row r="93" spans="1:28" ht="14.25" customHeight="1">
      <c r="E93" s="50"/>
      <c r="F93" s="50"/>
      <c r="G93" s="53"/>
      <c r="K93" s="820"/>
      <c r="L93" s="271"/>
      <c r="M93" s="820"/>
      <c r="N93" s="271"/>
      <c r="O93" s="820"/>
      <c r="P93" s="271"/>
      <c r="Q93" s="820"/>
      <c r="R93" s="271"/>
      <c r="S93" s="820"/>
      <c r="T93" s="271"/>
      <c r="U93" s="820"/>
      <c r="V93" s="271"/>
    </row>
    <row r="94" spans="1:28" ht="14.25" customHeight="1">
      <c r="E94" s="50"/>
      <c r="F94" s="50"/>
      <c r="G94" s="53"/>
      <c r="K94" s="820"/>
      <c r="L94" s="271"/>
      <c r="M94" s="820"/>
      <c r="N94" s="271"/>
      <c r="O94" s="820"/>
      <c r="P94" s="271"/>
      <c r="Q94" s="820"/>
      <c r="R94" s="271"/>
      <c r="S94" s="820"/>
      <c r="T94" s="271"/>
      <c r="U94" s="820"/>
      <c r="V94" s="271"/>
    </row>
    <row r="95" spans="1:28" ht="14.25" customHeight="1">
      <c r="E95" s="50"/>
      <c r="F95" s="50"/>
      <c r="G95" s="53"/>
      <c r="K95" s="820"/>
      <c r="L95" s="271"/>
      <c r="M95" s="820"/>
      <c r="N95" s="271"/>
      <c r="O95" s="820"/>
      <c r="P95" s="271"/>
      <c r="Q95" s="820"/>
      <c r="R95" s="271"/>
      <c r="S95" s="820"/>
      <c r="T95" s="271"/>
      <c r="U95" s="820"/>
      <c r="V95" s="271"/>
    </row>
    <row r="96" spans="1:28" ht="14.25" customHeight="1">
      <c r="E96" s="50"/>
      <c r="F96" s="50"/>
      <c r="G96" s="53"/>
      <c r="K96" s="820"/>
      <c r="L96" s="271"/>
      <c r="M96" s="820"/>
      <c r="N96" s="271"/>
      <c r="O96" s="820"/>
      <c r="P96" s="271"/>
      <c r="Q96" s="820"/>
      <c r="R96" s="271"/>
      <c r="S96" s="820"/>
      <c r="T96" s="271"/>
      <c r="U96" s="820"/>
      <c r="V96" s="271"/>
    </row>
    <row r="97" spans="5:22" ht="14.25" customHeight="1">
      <c r="E97" s="50"/>
      <c r="F97" s="50"/>
      <c r="G97" s="53"/>
      <c r="K97" s="820"/>
      <c r="L97" s="271"/>
      <c r="M97" s="820"/>
      <c r="N97" s="271"/>
      <c r="O97" s="820"/>
      <c r="P97" s="271"/>
      <c r="Q97" s="820"/>
      <c r="R97" s="271"/>
      <c r="S97" s="820"/>
      <c r="T97" s="271"/>
      <c r="U97" s="820"/>
      <c r="V97" s="271"/>
    </row>
    <row r="98" spans="5:22" ht="14.25" customHeight="1">
      <c r="E98" s="50"/>
      <c r="F98" s="50"/>
      <c r="G98" s="53"/>
      <c r="K98" s="820"/>
      <c r="L98" s="271"/>
      <c r="M98" s="820"/>
      <c r="N98" s="271"/>
      <c r="O98" s="820"/>
      <c r="P98" s="271"/>
      <c r="Q98" s="820"/>
      <c r="R98" s="271"/>
      <c r="S98" s="820"/>
      <c r="T98" s="271"/>
      <c r="U98" s="820"/>
      <c r="V98" s="271"/>
    </row>
    <row r="99" spans="5:22" ht="14.25" customHeight="1">
      <c r="E99" s="50"/>
      <c r="F99" s="50"/>
      <c r="G99" s="53"/>
      <c r="K99" s="820"/>
      <c r="L99" s="271"/>
      <c r="M99" s="820"/>
      <c r="N99" s="271"/>
      <c r="O99" s="820"/>
      <c r="P99" s="271"/>
      <c r="Q99" s="820"/>
      <c r="R99" s="271"/>
      <c r="S99" s="820"/>
      <c r="T99" s="271"/>
      <c r="U99" s="820"/>
      <c r="V99" s="271"/>
    </row>
    <row r="100" spans="5:22" ht="14.25" customHeight="1">
      <c r="E100" s="50"/>
      <c r="F100" s="50"/>
      <c r="G100" s="53"/>
      <c r="K100" s="820"/>
      <c r="L100" s="271"/>
      <c r="M100" s="820"/>
      <c r="N100" s="271"/>
      <c r="O100" s="820"/>
      <c r="P100" s="271"/>
      <c r="Q100" s="820"/>
      <c r="R100" s="271"/>
      <c r="S100" s="820"/>
      <c r="T100" s="271"/>
      <c r="U100" s="820"/>
      <c r="V100" s="271"/>
    </row>
    <row r="101" spans="5:22" ht="14.25" customHeight="1">
      <c r="E101" s="50"/>
      <c r="F101" s="50"/>
      <c r="G101" s="53"/>
      <c r="K101" s="820"/>
      <c r="L101" s="271"/>
      <c r="M101" s="820"/>
      <c r="N101" s="271"/>
      <c r="O101" s="820"/>
      <c r="P101" s="271"/>
      <c r="Q101" s="820"/>
      <c r="R101" s="271"/>
      <c r="S101" s="820"/>
      <c r="T101" s="271"/>
      <c r="U101" s="820"/>
      <c r="V101" s="271"/>
    </row>
    <row r="102" spans="5:22" ht="14.25" customHeight="1">
      <c r="E102" s="50"/>
      <c r="F102" s="50"/>
      <c r="G102" s="53"/>
      <c r="K102" s="820"/>
      <c r="L102" s="271"/>
      <c r="M102" s="820"/>
      <c r="N102" s="271"/>
      <c r="O102" s="820"/>
      <c r="P102" s="271"/>
      <c r="Q102" s="820"/>
      <c r="R102" s="271"/>
      <c r="S102" s="820"/>
      <c r="T102" s="271"/>
      <c r="U102" s="820"/>
      <c r="V102" s="271"/>
    </row>
    <row r="103" spans="5:22" ht="14.25" customHeight="1">
      <c r="E103" s="50"/>
      <c r="F103" s="50"/>
      <c r="G103" s="53"/>
      <c r="K103" s="820"/>
      <c r="L103" s="271"/>
      <c r="M103" s="820"/>
      <c r="N103" s="271"/>
      <c r="O103" s="820"/>
      <c r="P103" s="271"/>
      <c r="Q103" s="820"/>
      <c r="R103" s="271"/>
      <c r="S103" s="820"/>
      <c r="T103" s="271"/>
      <c r="U103" s="820"/>
      <c r="V103" s="271"/>
    </row>
    <row r="104" spans="5:22" ht="14.25" customHeight="1">
      <c r="E104" s="50"/>
      <c r="F104" s="50"/>
      <c r="G104" s="53"/>
      <c r="K104" s="820"/>
      <c r="L104" s="271"/>
      <c r="M104" s="820"/>
      <c r="N104" s="271"/>
      <c r="O104" s="820"/>
      <c r="P104" s="271"/>
      <c r="Q104" s="820"/>
      <c r="R104" s="271"/>
      <c r="S104" s="820"/>
      <c r="T104" s="271"/>
      <c r="U104" s="820"/>
      <c r="V104" s="271"/>
    </row>
    <row r="105" spans="5:22" ht="14.25" customHeight="1">
      <c r="E105" s="50"/>
      <c r="F105" s="50"/>
      <c r="G105" s="53"/>
      <c r="K105" s="820"/>
      <c r="L105" s="271"/>
      <c r="M105" s="820"/>
      <c r="N105" s="271"/>
      <c r="O105" s="820"/>
      <c r="P105" s="271"/>
      <c r="Q105" s="820"/>
      <c r="R105" s="271"/>
      <c r="S105" s="820"/>
      <c r="T105" s="271"/>
      <c r="U105" s="820"/>
      <c r="V105" s="271"/>
    </row>
    <row r="106" spans="5:22" ht="14.25" customHeight="1">
      <c r="E106" s="50"/>
      <c r="F106" s="50"/>
      <c r="G106" s="53"/>
      <c r="K106" s="820"/>
      <c r="L106" s="271"/>
      <c r="M106" s="820"/>
      <c r="N106" s="271"/>
      <c r="O106" s="820"/>
      <c r="P106" s="271"/>
      <c r="Q106" s="820"/>
      <c r="R106" s="271"/>
      <c r="S106" s="820"/>
      <c r="T106" s="271"/>
      <c r="U106" s="820"/>
      <c r="V106" s="271"/>
    </row>
    <row r="107" spans="5:22" ht="14.25" customHeight="1">
      <c r="E107" s="50"/>
      <c r="F107" s="50"/>
      <c r="G107" s="53"/>
      <c r="K107" s="820"/>
      <c r="L107" s="271"/>
      <c r="M107" s="820"/>
      <c r="N107" s="271"/>
      <c r="O107" s="820"/>
      <c r="P107" s="271"/>
      <c r="Q107" s="820"/>
      <c r="R107" s="271"/>
      <c r="S107" s="820"/>
      <c r="T107" s="271"/>
      <c r="U107" s="820"/>
      <c r="V107" s="271"/>
    </row>
    <row r="108" spans="5:22" ht="14.25" customHeight="1">
      <c r="E108" s="50"/>
      <c r="F108" s="50"/>
      <c r="G108" s="53"/>
      <c r="K108" s="820"/>
      <c r="L108" s="271"/>
      <c r="M108" s="820"/>
      <c r="N108" s="271"/>
      <c r="O108" s="820"/>
      <c r="P108" s="271"/>
      <c r="Q108" s="820"/>
      <c r="R108" s="271"/>
      <c r="S108" s="820"/>
      <c r="T108" s="271"/>
      <c r="U108" s="820"/>
      <c r="V108" s="271"/>
    </row>
    <row r="109" spans="5:22" ht="14.25" customHeight="1">
      <c r="E109" s="50"/>
      <c r="F109" s="50"/>
      <c r="G109" s="53"/>
      <c r="K109" s="820"/>
      <c r="L109" s="271"/>
      <c r="M109" s="820"/>
      <c r="N109" s="271"/>
      <c r="O109" s="820"/>
      <c r="P109" s="271"/>
      <c r="Q109" s="820"/>
      <c r="R109" s="271"/>
      <c r="S109" s="820"/>
      <c r="T109" s="271"/>
      <c r="U109" s="820"/>
      <c r="V109" s="271"/>
    </row>
    <row r="110" spans="5:22" ht="14.25" customHeight="1">
      <c r="E110" s="50"/>
      <c r="F110" s="50"/>
      <c r="G110" s="53"/>
      <c r="K110" s="820"/>
      <c r="L110" s="271"/>
      <c r="M110" s="820"/>
      <c r="N110" s="271"/>
      <c r="O110" s="820"/>
      <c r="P110" s="271"/>
      <c r="Q110" s="820"/>
      <c r="R110" s="271"/>
      <c r="S110" s="820"/>
      <c r="T110" s="271"/>
      <c r="U110" s="820"/>
      <c r="V110" s="271"/>
    </row>
    <row r="111" spans="5:22" ht="14.25" customHeight="1">
      <c r="E111" s="50"/>
      <c r="F111" s="50"/>
      <c r="G111" s="53"/>
      <c r="K111" s="820"/>
      <c r="L111" s="271"/>
      <c r="M111" s="820"/>
      <c r="N111" s="271"/>
      <c r="O111" s="820"/>
      <c r="P111" s="271"/>
      <c r="Q111" s="820"/>
      <c r="R111" s="271"/>
      <c r="S111" s="820"/>
      <c r="T111" s="271"/>
      <c r="U111" s="820"/>
      <c r="V111" s="271"/>
    </row>
    <row r="112" spans="5:22" ht="14.25" customHeight="1">
      <c r="E112" s="50"/>
      <c r="F112" s="50"/>
      <c r="G112" s="53"/>
      <c r="K112" s="820"/>
      <c r="L112" s="271"/>
      <c r="M112" s="820"/>
      <c r="N112" s="271"/>
      <c r="O112" s="820"/>
      <c r="P112" s="271"/>
      <c r="Q112" s="820"/>
      <c r="R112" s="271"/>
      <c r="S112" s="820"/>
      <c r="T112" s="271"/>
      <c r="U112" s="820"/>
      <c r="V112" s="271"/>
    </row>
    <row r="113" spans="5:22" ht="14.25" customHeight="1">
      <c r="E113" s="50"/>
      <c r="F113" s="50"/>
      <c r="G113" s="53"/>
      <c r="K113" s="820"/>
      <c r="L113" s="271"/>
      <c r="M113" s="820"/>
      <c r="N113" s="271"/>
      <c r="O113" s="820"/>
      <c r="P113" s="271"/>
      <c r="Q113" s="820"/>
      <c r="R113" s="271"/>
      <c r="S113" s="820"/>
      <c r="T113" s="271"/>
      <c r="U113" s="820"/>
      <c r="V113" s="271"/>
    </row>
    <row r="114" spans="5:22" ht="14.25" customHeight="1">
      <c r="E114" s="50"/>
      <c r="F114" s="50"/>
      <c r="G114" s="53"/>
      <c r="K114" s="820"/>
      <c r="L114" s="271"/>
      <c r="M114" s="820"/>
      <c r="N114" s="271"/>
      <c r="O114" s="820"/>
      <c r="P114" s="271"/>
      <c r="Q114" s="820"/>
      <c r="R114" s="271"/>
      <c r="S114" s="820"/>
      <c r="T114" s="271"/>
      <c r="U114" s="820"/>
      <c r="V114" s="271"/>
    </row>
    <row r="115" spans="5:22" ht="14.25" customHeight="1">
      <c r="E115" s="50"/>
      <c r="F115" s="50"/>
      <c r="G115" s="53"/>
      <c r="K115" s="820"/>
      <c r="L115" s="271"/>
      <c r="M115" s="820"/>
      <c r="N115" s="271"/>
      <c r="O115" s="820"/>
      <c r="P115" s="271"/>
      <c r="Q115" s="820"/>
      <c r="R115" s="271"/>
      <c r="S115" s="820"/>
      <c r="T115" s="271"/>
      <c r="U115" s="820"/>
      <c r="V115" s="271"/>
    </row>
    <row r="116" spans="5:22" ht="14.25" customHeight="1">
      <c r="E116" s="50"/>
      <c r="F116" s="50"/>
      <c r="G116" s="53"/>
      <c r="K116" s="820"/>
      <c r="L116" s="271"/>
      <c r="M116" s="820"/>
      <c r="N116" s="271"/>
      <c r="O116" s="820"/>
      <c r="P116" s="271"/>
      <c r="Q116" s="820"/>
      <c r="R116" s="271"/>
      <c r="S116" s="820"/>
      <c r="T116" s="271"/>
      <c r="U116" s="820"/>
      <c r="V116" s="271"/>
    </row>
    <row r="117" spans="5:22" ht="14.25" customHeight="1">
      <c r="E117" s="50"/>
      <c r="F117" s="50"/>
      <c r="G117" s="53"/>
      <c r="K117" s="820"/>
      <c r="L117" s="271"/>
      <c r="M117" s="820"/>
      <c r="N117" s="271"/>
      <c r="O117" s="820"/>
      <c r="P117" s="271"/>
      <c r="Q117" s="820"/>
      <c r="R117" s="271"/>
      <c r="S117" s="820"/>
      <c r="T117" s="271"/>
      <c r="U117" s="820"/>
      <c r="V117" s="271"/>
    </row>
    <row r="118" spans="5:22" ht="14.25" customHeight="1">
      <c r="E118" s="50"/>
      <c r="F118" s="50"/>
      <c r="G118" s="53"/>
      <c r="K118" s="820"/>
      <c r="L118" s="271"/>
      <c r="M118" s="820"/>
      <c r="N118" s="271"/>
      <c r="O118" s="820"/>
      <c r="P118" s="271"/>
      <c r="Q118" s="820"/>
      <c r="R118" s="271"/>
      <c r="S118" s="820"/>
      <c r="T118" s="271"/>
      <c r="U118" s="820"/>
      <c r="V118" s="271"/>
    </row>
    <row r="119" spans="5:22" ht="14.25" customHeight="1">
      <c r="E119" s="50"/>
      <c r="F119" s="50"/>
      <c r="G119" s="53"/>
      <c r="K119" s="820"/>
      <c r="L119" s="271"/>
      <c r="M119" s="820"/>
      <c r="N119" s="271"/>
      <c r="O119" s="820"/>
      <c r="P119" s="271"/>
      <c r="Q119" s="820"/>
      <c r="R119" s="271"/>
      <c r="S119" s="820"/>
      <c r="T119" s="271"/>
      <c r="U119" s="820"/>
      <c r="V119" s="271"/>
    </row>
    <row r="120" spans="5:22" ht="14.25" customHeight="1">
      <c r="E120" s="50"/>
      <c r="F120" s="50"/>
      <c r="G120" s="53"/>
      <c r="K120" s="820"/>
      <c r="L120" s="271"/>
      <c r="M120" s="820"/>
      <c r="N120" s="271"/>
      <c r="O120" s="820"/>
      <c r="P120" s="271"/>
      <c r="Q120" s="820"/>
      <c r="R120" s="271"/>
      <c r="S120" s="820"/>
      <c r="T120" s="271"/>
      <c r="U120" s="820"/>
      <c r="V120" s="271"/>
    </row>
    <row r="121" spans="5:22" ht="14.25" customHeight="1">
      <c r="E121" s="50"/>
      <c r="F121" s="50"/>
      <c r="G121" s="53"/>
      <c r="K121" s="820"/>
      <c r="L121" s="271"/>
      <c r="M121" s="820"/>
      <c r="N121" s="271"/>
      <c r="O121" s="820"/>
      <c r="P121" s="271"/>
      <c r="Q121" s="820"/>
      <c r="R121" s="271"/>
      <c r="S121" s="820"/>
      <c r="T121" s="271"/>
      <c r="U121" s="820"/>
      <c r="V121" s="271"/>
    </row>
    <row r="122" spans="5:22" ht="14.25" customHeight="1">
      <c r="E122" s="50"/>
      <c r="F122" s="50"/>
      <c r="G122" s="53"/>
      <c r="K122" s="820"/>
      <c r="L122" s="271"/>
      <c r="M122" s="820"/>
      <c r="N122" s="271"/>
      <c r="O122" s="820"/>
      <c r="P122" s="271"/>
      <c r="Q122" s="820"/>
      <c r="R122" s="271"/>
      <c r="S122" s="820"/>
      <c r="T122" s="271"/>
      <c r="U122" s="820"/>
      <c r="V122" s="271"/>
    </row>
    <row r="123" spans="5:22" ht="14.25" customHeight="1">
      <c r="E123" s="50"/>
      <c r="F123" s="50"/>
      <c r="G123" s="53"/>
      <c r="K123" s="820"/>
      <c r="L123" s="271"/>
      <c r="M123" s="820"/>
      <c r="N123" s="271"/>
      <c r="O123" s="820"/>
      <c r="P123" s="271"/>
      <c r="Q123" s="820"/>
      <c r="R123" s="271"/>
      <c r="S123" s="820"/>
      <c r="T123" s="271"/>
      <c r="U123" s="820"/>
      <c r="V123" s="271"/>
    </row>
    <row r="124" spans="5:22" ht="14.25" customHeight="1">
      <c r="E124" s="50"/>
      <c r="F124" s="50"/>
      <c r="G124" s="53"/>
      <c r="K124" s="820"/>
      <c r="L124" s="271"/>
      <c r="M124" s="820"/>
      <c r="N124" s="271"/>
      <c r="O124" s="820"/>
      <c r="P124" s="271"/>
      <c r="Q124" s="820"/>
      <c r="R124" s="271"/>
      <c r="S124" s="820"/>
      <c r="T124" s="271"/>
      <c r="U124" s="820"/>
      <c r="V124" s="271"/>
    </row>
    <row r="125" spans="5:22" ht="14.25" customHeight="1">
      <c r="E125" s="50"/>
      <c r="F125" s="50"/>
      <c r="G125" s="53"/>
      <c r="K125" s="820"/>
      <c r="L125" s="271"/>
      <c r="M125" s="820"/>
      <c r="N125" s="271"/>
      <c r="O125" s="820"/>
      <c r="P125" s="271"/>
      <c r="Q125" s="820"/>
      <c r="R125" s="271"/>
      <c r="S125" s="820"/>
      <c r="T125" s="271"/>
      <c r="U125" s="820"/>
      <c r="V125" s="271"/>
    </row>
    <row r="126" spans="5:22" ht="14.25" customHeight="1">
      <c r="E126" s="50"/>
      <c r="F126" s="50"/>
      <c r="G126" s="53"/>
      <c r="K126" s="820"/>
      <c r="L126" s="271"/>
      <c r="M126" s="820"/>
      <c r="N126" s="271"/>
      <c r="O126" s="820"/>
      <c r="P126" s="271"/>
      <c r="Q126" s="820"/>
      <c r="R126" s="271"/>
      <c r="S126" s="820"/>
      <c r="T126" s="271"/>
      <c r="U126" s="820"/>
      <c r="V126" s="271"/>
    </row>
    <row r="127" spans="5:22" ht="14.25" customHeight="1">
      <c r="E127" s="50"/>
      <c r="F127" s="50"/>
      <c r="G127" s="53"/>
      <c r="K127" s="820"/>
      <c r="L127" s="271"/>
      <c r="M127" s="820"/>
      <c r="N127" s="271"/>
      <c r="O127" s="820"/>
      <c r="P127" s="271"/>
      <c r="Q127" s="820"/>
      <c r="R127" s="271"/>
      <c r="S127" s="820"/>
      <c r="T127" s="271"/>
      <c r="U127" s="820"/>
      <c r="V127" s="271"/>
    </row>
    <row r="128" spans="5:22" ht="14.25" customHeight="1">
      <c r="E128" s="50"/>
      <c r="F128" s="50"/>
      <c r="G128" s="53"/>
      <c r="K128" s="820"/>
      <c r="L128" s="271"/>
      <c r="M128" s="820"/>
      <c r="N128" s="271"/>
      <c r="O128" s="820"/>
      <c r="P128" s="271"/>
      <c r="Q128" s="820"/>
      <c r="R128" s="271"/>
      <c r="S128" s="820"/>
      <c r="T128" s="271"/>
      <c r="U128" s="820"/>
      <c r="V128" s="271"/>
    </row>
    <row r="129" spans="5:22" ht="14.25" customHeight="1">
      <c r="E129" s="50"/>
      <c r="F129" s="50"/>
      <c r="G129" s="53"/>
      <c r="K129" s="820"/>
      <c r="L129" s="271"/>
      <c r="M129" s="820"/>
      <c r="N129" s="271"/>
      <c r="O129" s="820"/>
      <c r="P129" s="271"/>
      <c r="Q129" s="820"/>
      <c r="R129" s="271"/>
      <c r="S129" s="820"/>
      <c r="T129" s="271"/>
      <c r="U129" s="820"/>
      <c r="V129" s="271"/>
    </row>
    <row r="130" spans="5:22" ht="14.25" customHeight="1">
      <c r="E130" s="50"/>
      <c r="F130" s="50"/>
      <c r="G130" s="53"/>
      <c r="K130" s="820"/>
      <c r="L130" s="271"/>
      <c r="M130" s="820"/>
      <c r="N130" s="271"/>
      <c r="O130" s="820"/>
      <c r="P130" s="271"/>
      <c r="Q130" s="820"/>
      <c r="R130" s="271"/>
      <c r="S130" s="820"/>
      <c r="T130" s="271"/>
      <c r="U130" s="820"/>
      <c r="V130" s="271"/>
    </row>
    <row r="131" spans="5:22" ht="14.25" customHeight="1">
      <c r="E131" s="50"/>
      <c r="F131" s="50"/>
      <c r="G131" s="53"/>
      <c r="K131" s="820"/>
      <c r="L131" s="271"/>
      <c r="M131" s="820"/>
      <c r="N131" s="271"/>
      <c r="O131" s="820"/>
      <c r="P131" s="271"/>
      <c r="Q131" s="820"/>
      <c r="R131" s="271"/>
      <c r="S131" s="820"/>
      <c r="T131" s="271"/>
      <c r="U131" s="820"/>
      <c r="V131" s="271"/>
    </row>
    <row r="132" spans="5:22" ht="14.25" customHeight="1">
      <c r="E132" s="50"/>
      <c r="F132" s="50"/>
      <c r="G132" s="53"/>
      <c r="K132" s="820"/>
      <c r="L132" s="271"/>
      <c r="M132" s="820"/>
      <c r="N132" s="271"/>
      <c r="O132" s="820"/>
      <c r="P132" s="271"/>
      <c r="Q132" s="820"/>
      <c r="R132" s="271"/>
      <c r="S132" s="820"/>
      <c r="T132" s="271"/>
      <c r="U132" s="820"/>
      <c r="V132" s="271"/>
    </row>
    <row r="133" spans="5:22" ht="14.25" customHeight="1">
      <c r="E133" s="50"/>
      <c r="F133" s="50"/>
      <c r="G133" s="53"/>
      <c r="K133" s="820"/>
      <c r="L133" s="271"/>
      <c r="M133" s="820"/>
      <c r="N133" s="271"/>
      <c r="O133" s="820"/>
      <c r="P133" s="271"/>
      <c r="Q133" s="820"/>
      <c r="R133" s="271"/>
      <c r="S133" s="820"/>
      <c r="T133" s="271"/>
      <c r="U133" s="820"/>
      <c r="V133" s="271"/>
    </row>
    <row r="134" spans="5:22" ht="14.25" customHeight="1">
      <c r="E134" s="50"/>
      <c r="F134" s="50"/>
      <c r="G134" s="53"/>
      <c r="K134" s="820"/>
      <c r="L134" s="271"/>
      <c r="M134" s="820"/>
      <c r="N134" s="271"/>
      <c r="O134" s="820"/>
      <c r="P134" s="271"/>
      <c r="Q134" s="820"/>
      <c r="R134" s="271"/>
      <c r="S134" s="820"/>
      <c r="T134" s="271"/>
      <c r="U134" s="820"/>
      <c r="V134" s="271"/>
    </row>
    <row r="135" spans="5:22" ht="14.25" customHeight="1">
      <c r="E135" s="50"/>
      <c r="F135" s="50"/>
      <c r="G135" s="53"/>
      <c r="K135" s="820"/>
      <c r="L135" s="271"/>
      <c r="M135" s="820"/>
      <c r="N135" s="271"/>
      <c r="O135" s="820"/>
      <c r="P135" s="271"/>
      <c r="Q135" s="820"/>
      <c r="R135" s="271"/>
      <c r="S135" s="820"/>
      <c r="T135" s="271"/>
      <c r="U135" s="820"/>
      <c r="V135" s="271"/>
    </row>
    <row r="136" spans="5:22" ht="14.25" customHeight="1">
      <c r="E136" s="50"/>
      <c r="F136" s="50"/>
      <c r="G136" s="53"/>
      <c r="K136" s="820"/>
      <c r="L136" s="271"/>
      <c r="M136" s="820"/>
      <c r="N136" s="271"/>
      <c r="O136" s="820"/>
      <c r="P136" s="271"/>
      <c r="Q136" s="820"/>
      <c r="R136" s="271"/>
      <c r="S136" s="820"/>
      <c r="T136" s="271"/>
      <c r="U136" s="820"/>
      <c r="V136" s="271"/>
    </row>
    <row r="137" spans="5:22" ht="14.25" customHeight="1">
      <c r="E137" s="50"/>
      <c r="F137" s="50"/>
      <c r="G137" s="53"/>
      <c r="K137" s="820"/>
      <c r="L137" s="271"/>
      <c r="M137" s="820"/>
      <c r="N137" s="271"/>
      <c r="O137" s="820"/>
      <c r="P137" s="271"/>
      <c r="Q137" s="820"/>
      <c r="R137" s="271"/>
      <c r="S137" s="820"/>
      <c r="T137" s="271"/>
      <c r="U137" s="820"/>
      <c r="V137" s="271"/>
    </row>
    <row r="138" spans="5:22" ht="14.25" customHeight="1">
      <c r="E138" s="50"/>
      <c r="F138" s="50"/>
      <c r="G138" s="53"/>
      <c r="K138" s="820"/>
      <c r="L138" s="271"/>
      <c r="M138" s="820"/>
      <c r="N138" s="271"/>
      <c r="O138" s="820"/>
      <c r="P138" s="271"/>
      <c r="Q138" s="820"/>
      <c r="R138" s="271"/>
      <c r="S138" s="820"/>
      <c r="T138" s="271"/>
      <c r="U138" s="820"/>
      <c r="V138" s="271"/>
    </row>
    <row r="139" spans="5:22" ht="14.25" customHeight="1">
      <c r="E139" s="50"/>
      <c r="F139" s="50"/>
      <c r="G139" s="53"/>
      <c r="K139" s="820"/>
      <c r="L139" s="271"/>
      <c r="M139" s="820"/>
      <c r="N139" s="271"/>
      <c r="O139" s="820"/>
      <c r="P139" s="271"/>
      <c r="Q139" s="820"/>
      <c r="R139" s="271"/>
      <c r="S139" s="820"/>
      <c r="T139" s="271"/>
      <c r="U139" s="820"/>
      <c r="V139" s="271"/>
    </row>
    <row r="140" spans="5:22" ht="14.25" customHeight="1">
      <c r="E140" s="50"/>
      <c r="F140" s="50"/>
      <c r="G140" s="53"/>
      <c r="K140" s="820"/>
      <c r="L140" s="271"/>
      <c r="M140" s="820"/>
      <c r="N140" s="271"/>
      <c r="O140" s="820"/>
      <c r="P140" s="271"/>
      <c r="Q140" s="820"/>
      <c r="R140" s="271"/>
      <c r="S140" s="820"/>
      <c r="T140" s="271"/>
      <c r="U140" s="820"/>
      <c r="V140" s="271"/>
    </row>
    <row r="141" spans="5:22" ht="14.25" customHeight="1">
      <c r="E141" s="50"/>
      <c r="F141" s="50"/>
      <c r="G141" s="53"/>
      <c r="K141" s="820"/>
      <c r="L141" s="271"/>
      <c r="M141" s="820"/>
      <c r="N141" s="271"/>
      <c r="O141" s="820"/>
      <c r="P141" s="271"/>
      <c r="Q141" s="820"/>
      <c r="R141" s="271"/>
      <c r="S141" s="820"/>
      <c r="T141" s="271"/>
      <c r="U141" s="820"/>
      <c r="V141" s="271"/>
    </row>
    <row r="142" spans="5:22" ht="14.25" customHeight="1">
      <c r="E142" s="50"/>
      <c r="F142" s="50"/>
      <c r="G142" s="53"/>
      <c r="K142" s="820"/>
      <c r="L142" s="271"/>
      <c r="M142" s="820"/>
      <c r="N142" s="271"/>
      <c r="O142" s="820"/>
      <c r="P142" s="271"/>
      <c r="Q142" s="820"/>
      <c r="R142" s="271"/>
      <c r="S142" s="820"/>
      <c r="T142" s="271"/>
      <c r="U142" s="820"/>
      <c r="V142" s="271"/>
    </row>
    <row r="143" spans="5:22" ht="14.25" customHeight="1">
      <c r="E143" s="50"/>
      <c r="F143" s="50"/>
      <c r="G143" s="53"/>
      <c r="K143" s="820"/>
      <c r="L143" s="271"/>
      <c r="M143" s="820"/>
      <c r="N143" s="271"/>
      <c r="O143" s="820"/>
      <c r="P143" s="271"/>
      <c r="Q143" s="820"/>
      <c r="R143" s="271"/>
      <c r="S143" s="820"/>
      <c r="T143" s="271"/>
      <c r="U143" s="820"/>
      <c r="V143" s="271"/>
    </row>
    <row r="144" spans="5:22" ht="14.25" customHeight="1">
      <c r="E144" s="50"/>
      <c r="F144" s="50"/>
      <c r="G144" s="53"/>
      <c r="K144" s="820"/>
      <c r="L144" s="271"/>
      <c r="M144" s="820"/>
      <c r="N144" s="271"/>
      <c r="O144" s="820"/>
      <c r="P144" s="271"/>
      <c r="Q144" s="820"/>
      <c r="R144" s="271"/>
      <c r="S144" s="820"/>
      <c r="T144" s="271"/>
      <c r="U144" s="820"/>
      <c r="V144" s="271"/>
    </row>
    <row r="145" spans="5:22" ht="14.25" customHeight="1">
      <c r="E145" s="50"/>
      <c r="F145" s="50"/>
      <c r="G145" s="53"/>
      <c r="K145" s="820"/>
      <c r="L145" s="271"/>
      <c r="M145" s="820"/>
      <c r="N145" s="271"/>
      <c r="O145" s="820"/>
      <c r="P145" s="271"/>
      <c r="Q145" s="820"/>
      <c r="R145" s="271"/>
      <c r="S145" s="820"/>
      <c r="T145" s="271"/>
      <c r="U145" s="820"/>
      <c r="V145" s="271"/>
    </row>
    <row r="146" spans="5:22" ht="14.25" customHeight="1">
      <c r="E146" s="50"/>
      <c r="F146" s="50"/>
      <c r="G146" s="53"/>
      <c r="K146" s="820"/>
      <c r="L146" s="271"/>
      <c r="M146" s="820"/>
      <c r="N146" s="271"/>
      <c r="O146" s="820"/>
      <c r="P146" s="271"/>
      <c r="Q146" s="820"/>
      <c r="R146" s="271"/>
      <c r="S146" s="820"/>
      <c r="T146" s="271"/>
      <c r="U146" s="820"/>
      <c r="V146" s="271"/>
    </row>
    <row r="147" spans="5:22" ht="14.25" customHeight="1">
      <c r="E147" s="50"/>
      <c r="F147" s="50"/>
      <c r="G147" s="53"/>
      <c r="K147" s="820"/>
      <c r="L147" s="271"/>
      <c r="M147" s="820"/>
      <c r="N147" s="271"/>
      <c r="O147" s="820"/>
      <c r="P147" s="271"/>
      <c r="Q147" s="820"/>
      <c r="R147" s="271"/>
      <c r="S147" s="820"/>
      <c r="T147" s="271"/>
      <c r="U147" s="820"/>
      <c r="V147" s="271"/>
    </row>
    <row r="148" spans="5:22" ht="14.25" customHeight="1">
      <c r="E148" s="50"/>
      <c r="F148" s="50"/>
      <c r="G148" s="53"/>
      <c r="K148" s="820"/>
      <c r="L148" s="271"/>
      <c r="M148" s="820"/>
      <c r="N148" s="271"/>
      <c r="O148" s="820"/>
      <c r="P148" s="271"/>
      <c r="Q148" s="820"/>
      <c r="R148" s="271"/>
      <c r="S148" s="820"/>
      <c r="T148" s="271"/>
      <c r="U148" s="820"/>
      <c r="V148" s="271"/>
    </row>
    <row r="149" spans="5:22" ht="14.25" customHeight="1">
      <c r="E149" s="50"/>
      <c r="F149" s="50"/>
      <c r="G149" s="53"/>
      <c r="K149" s="820"/>
      <c r="L149" s="271"/>
      <c r="M149" s="820"/>
      <c r="N149" s="271"/>
      <c r="O149" s="820"/>
      <c r="P149" s="271"/>
      <c r="Q149" s="820"/>
      <c r="R149" s="271"/>
      <c r="S149" s="820"/>
      <c r="T149" s="271"/>
      <c r="U149" s="820"/>
      <c r="V149" s="271"/>
    </row>
    <row r="150" spans="5:22" ht="14.25" customHeight="1">
      <c r="E150" s="50"/>
      <c r="F150" s="50"/>
      <c r="G150" s="53"/>
      <c r="K150" s="820"/>
      <c r="L150" s="271"/>
      <c r="M150" s="820"/>
      <c r="N150" s="271"/>
      <c r="O150" s="820"/>
      <c r="P150" s="271"/>
      <c r="Q150" s="820"/>
      <c r="R150" s="271"/>
      <c r="S150" s="820"/>
      <c r="T150" s="271"/>
      <c r="U150" s="820"/>
      <c r="V150" s="271"/>
    </row>
    <row r="151" spans="5:22" ht="14.25" customHeight="1">
      <c r="E151" s="50"/>
      <c r="F151" s="50"/>
      <c r="G151" s="53"/>
      <c r="K151" s="820"/>
      <c r="L151" s="271"/>
      <c r="M151" s="820"/>
      <c r="N151" s="271"/>
      <c r="O151" s="820"/>
      <c r="P151" s="271"/>
      <c r="Q151" s="820"/>
      <c r="R151" s="271"/>
      <c r="S151" s="820"/>
      <c r="T151" s="271"/>
      <c r="U151" s="820"/>
      <c r="V151" s="271"/>
    </row>
    <row r="152" spans="5:22" ht="14.25" customHeight="1">
      <c r="E152" s="50"/>
      <c r="F152" s="50"/>
      <c r="G152" s="53"/>
      <c r="K152" s="820"/>
      <c r="L152" s="271"/>
      <c r="M152" s="820"/>
      <c r="N152" s="271"/>
      <c r="O152" s="820"/>
      <c r="P152" s="271"/>
      <c r="Q152" s="820"/>
      <c r="R152" s="271"/>
      <c r="S152" s="820"/>
      <c r="T152" s="271"/>
      <c r="U152" s="820"/>
      <c r="V152" s="271"/>
    </row>
    <row r="153" spans="5:22" ht="14.25" customHeight="1">
      <c r="E153" s="50"/>
      <c r="F153" s="50"/>
      <c r="G153" s="53"/>
      <c r="K153" s="820"/>
      <c r="L153" s="271"/>
      <c r="M153" s="820"/>
      <c r="N153" s="271"/>
      <c r="O153" s="820"/>
      <c r="P153" s="271"/>
      <c r="Q153" s="820"/>
      <c r="R153" s="271"/>
      <c r="S153" s="820"/>
      <c r="T153" s="271"/>
      <c r="U153" s="820"/>
      <c r="V153" s="271"/>
    </row>
    <row r="154" spans="5:22" ht="14.25" customHeight="1">
      <c r="E154" s="50"/>
      <c r="F154" s="50"/>
      <c r="G154" s="53"/>
      <c r="K154" s="820"/>
      <c r="L154" s="271"/>
      <c r="M154" s="820"/>
      <c r="N154" s="271"/>
      <c r="O154" s="820"/>
      <c r="P154" s="271"/>
      <c r="Q154" s="820"/>
      <c r="R154" s="271"/>
      <c r="S154" s="820"/>
      <c r="T154" s="271"/>
      <c r="U154" s="820"/>
      <c r="V154" s="271"/>
    </row>
    <row r="155" spans="5:22" ht="14.25" customHeight="1">
      <c r="E155" s="50"/>
      <c r="F155" s="50"/>
      <c r="G155" s="53"/>
      <c r="K155" s="820"/>
      <c r="L155" s="271"/>
      <c r="M155" s="820"/>
      <c r="N155" s="271"/>
      <c r="O155" s="820"/>
      <c r="P155" s="271"/>
      <c r="Q155" s="820"/>
      <c r="R155" s="271"/>
      <c r="S155" s="820"/>
      <c r="T155" s="271"/>
      <c r="U155" s="820"/>
      <c r="V155" s="271"/>
    </row>
    <row r="156" spans="5:22" ht="14.25" customHeight="1">
      <c r="E156" s="50"/>
      <c r="F156" s="50"/>
      <c r="G156" s="53"/>
      <c r="K156" s="820"/>
      <c r="L156" s="271"/>
      <c r="M156" s="820"/>
      <c r="N156" s="271"/>
      <c r="O156" s="820"/>
      <c r="P156" s="271"/>
      <c r="Q156" s="820"/>
      <c r="R156" s="271"/>
      <c r="S156" s="820"/>
      <c r="T156" s="271"/>
      <c r="U156" s="820"/>
      <c r="V156" s="271"/>
    </row>
    <row r="157" spans="5:22" ht="14.25" customHeight="1">
      <c r="E157" s="50"/>
      <c r="F157" s="50"/>
      <c r="G157" s="53"/>
      <c r="K157" s="820"/>
      <c r="L157" s="271"/>
      <c r="M157" s="820"/>
      <c r="N157" s="271"/>
      <c r="O157" s="820"/>
      <c r="P157" s="271"/>
      <c r="Q157" s="820"/>
      <c r="R157" s="271"/>
      <c r="S157" s="820"/>
      <c r="T157" s="271"/>
      <c r="U157" s="820"/>
      <c r="V157" s="271"/>
    </row>
    <row r="158" spans="5:22" ht="14.25" customHeight="1">
      <c r="E158" s="50"/>
      <c r="F158" s="50"/>
      <c r="G158" s="53"/>
      <c r="K158" s="820"/>
      <c r="L158" s="271"/>
      <c r="M158" s="820"/>
      <c r="N158" s="271"/>
      <c r="O158" s="820"/>
      <c r="P158" s="271"/>
      <c r="Q158" s="820"/>
      <c r="R158" s="271"/>
      <c r="S158" s="820"/>
      <c r="T158" s="271"/>
      <c r="U158" s="820"/>
      <c r="V158" s="271"/>
    </row>
    <row r="159" spans="5:22" ht="14.25" customHeight="1">
      <c r="E159" s="50"/>
      <c r="F159" s="50"/>
      <c r="G159" s="53"/>
      <c r="K159" s="820"/>
      <c r="L159" s="271"/>
      <c r="M159" s="820"/>
      <c r="N159" s="271"/>
      <c r="O159" s="820"/>
      <c r="P159" s="271"/>
      <c r="Q159" s="820"/>
      <c r="R159" s="271"/>
      <c r="S159" s="820"/>
      <c r="T159" s="271"/>
      <c r="U159" s="820"/>
      <c r="V159" s="271"/>
    </row>
    <row r="160" spans="5:22" ht="14.25" customHeight="1">
      <c r="E160" s="50"/>
      <c r="F160" s="50"/>
      <c r="G160" s="53"/>
      <c r="K160" s="820"/>
      <c r="L160" s="271"/>
      <c r="M160" s="820"/>
      <c r="N160" s="271"/>
      <c r="O160" s="820"/>
      <c r="P160" s="271"/>
      <c r="Q160" s="820"/>
      <c r="R160" s="271"/>
      <c r="S160" s="820"/>
      <c r="T160" s="271"/>
      <c r="U160" s="820"/>
      <c r="V160" s="271"/>
    </row>
    <row r="161" spans="5:22" ht="14.25" customHeight="1">
      <c r="E161" s="50"/>
      <c r="F161" s="50"/>
      <c r="G161" s="53"/>
      <c r="K161" s="820"/>
      <c r="L161" s="271"/>
      <c r="M161" s="820"/>
      <c r="N161" s="271"/>
      <c r="O161" s="820"/>
      <c r="P161" s="271"/>
      <c r="Q161" s="820"/>
      <c r="R161" s="271"/>
      <c r="S161" s="820"/>
      <c r="T161" s="271"/>
      <c r="U161" s="820"/>
      <c r="V161" s="271"/>
    </row>
    <row r="162" spans="5:22" ht="14.25" customHeight="1">
      <c r="E162" s="50"/>
      <c r="F162" s="50"/>
      <c r="G162" s="53"/>
      <c r="K162" s="820"/>
      <c r="L162" s="271"/>
      <c r="M162" s="820"/>
      <c r="N162" s="271"/>
      <c r="O162" s="820"/>
      <c r="P162" s="271"/>
      <c r="Q162" s="820"/>
      <c r="R162" s="271"/>
      <c r="S162" s="820"/>
      <c r="T162" s="271"/>
      <c r="U162" s="820"/>
      <c r="V162" s="271"/>
    </row>
    <row r="163" spans="5:22" ht="14.25" customHeight="1">
      <c r="E163" s="50"/>
      <c r="F163" s="50"/>
      <c r="G163" s="53"/>
      <c r="K163" s="820"/>
      <c r="L163" s="271"/>
      <c r="M163" s="820"/>
      <c r="N163" s="271"/>
      <c r="O163" s="820"/>
      <c r="P163" s="271"/>
      <c r="Q163" s="820"/>
      <c r="R163" s="271"/>
      <c r="S163" s="820"/>
      <c r="T163" s="271"/>
      <c r="U163" s="820"/>
      <c r="V163" s="271"/>
    </row>
    <row r="164" spans="5:22" ht="14.25" customHeight="1">
      <c r="E164" s="50"/>
      <c r="F164" s="50"/>
      <c r="G164" s="53"/>
      <c r="K164" s="820"/>
      <c r="L164" s="271"/>
      <c r="M164" s="820"/>
      <c r="N164" s="271"/>
      <c r="O164" s="820"/>
      <c r="P164" s="271"/>
      <c r="Q164" s="820"/>
      <c r="R164" s="271"/>
      <c r="S164" s="820"/>
      <c r="T164" s="271"/>
      <c r="U164" s="820"/>
      <c r="V164" s="271"/>
    </row>
    <row r="165" spans="5:22" ht="14.25" customHeight="1">
      <c r="E165" s="50"/>
      <c r="F165" s="50"/>
      <c r="G165" s="53"/>
      <c r="K165" s="820"/>
      <c r="L165" s="271"/>
      <c r="M165" s="820"/>
      <c r="N165" s="271"/>
      <c r="O165" s="820"/>
      <c r="P165" s="271"/>
      <c r="Q165" s="820"/>
      <c r="R165" s="271"/>
      <c r="S165" s="820"/>
      <c r="T165" s="271"/>
      <c r="U165" s="820"/>
      <c r="V165" s="271"/>
    </row>
    <row r="166" spans="5:22" ht="14.25" customHeight="1">
      <c r="E166" s="50"/>
      <c r="F166" s="50"/>
      <c r="G166" s="53"/>
      <c r="K166" s="820"/>
      <c r="L166" s="271"/>
      <c r="M166" s="820"/>
      <c r="N166" s="271"/>
      <c r="O166" s="820"/>
      <c r="P166" s="271"/>
      <c r="Q166" s="820"/>
      <c r="R166" s="271"/>
      <c r="S166" s="820"/>
      <c r="T166" s="271"/>
      <c r="U166" s="820"/>
      <c r="V166" s="271"/>
    </row>
    <row r="167" spans="5:22" ht="14.25" customHeight="1">
      <c r="E167" s="50"/>
      <c r="F167" s="50"/>
      <c r="G167" s="53"/>
      <c r="K167" s="820"/>
      <c r="L167" s="271"/>
      <c r="M167" s="820"/>
      <c r="N167" s="271"/>
      <c r="O167" s="820"/>
      <c r="P167" s="271"/>
      <c r="Q167" s="820"/>
      <c r="R167" s="271"/>
      <c r="S167" s="820"/>
      <c r="T167" s="271"/>
      <c r="U167" s="820"/>
      <c r="V167" s="271"/>
    </row>
    <row r="168" spans="5:22" ht="14.25" customHeight="1">
      <c r="E168" s="50"/>
      <c r="F168" s="50"/>
      <c r="G168" s="53"/>
      <c r="K168" s="820"/>
      <c r="L168" s="271"/>
      <c r="M168" s="820"/>
      <c r="N168" s="271"/>
      <c r="O168" s="820"/>
      <c r="P168" s="271"/>
      <c r="Q168" s="820"/>
      <c r="R168" s="271"/>
      <c r="S168" s="820"/>
      <c r="T168" s="271"/>
      <c r="U168" s="820"/>
      <c r="V168" s="271"/>
    </row>
    <row r="169" spans="5:22" ht="14.25" customHeight="1">
      <c r="E169" s="50"/>
      <c r="F169" s="50"/>
      <c r="G169" s="53"/>
      <c r="K169" s="820"/>
      <c r="L169" s="271"/>
      <c r="M169" s="820"/>
      <c r="N169" s="271"/>
      <c r="O169" s="820"/>
      <c r="P169" s="271"/>
      <c r="Q169" s="820"/>
      <c r="R169" s="271"/>
      <c r="S169" s="820"/>
      <c r="T169" s="271"/>
      <c r="U169" s="820"/>
      <c r="V169" s="271"/>
    </row>
    <row r="170" spans="5:22" ht="14.25" customHeight="1">
      <c r="E170" s="50"/>
      <c r="F170" s="50"/>
      <c r="G170" s="53"/>
      <c r="K170" s="820"/>
      <c r="L170" s="271"/>
      <c r="M170" s="820"/>
      <c r="N170" s="271"/>
      <c r="O170" s="820"/>
      <c r="P170" s="271"/>
      <c r="Q170" s="820"/>
      <c r="R170" s="271"/>
      <c r="S170" s="820"/>
      <c r="T170" s="271"/>
      <c r="U170" s="820"/>
      <c r="V170" s="271"/>
    </row>
    <row r="171" spans="5:22" ht="14.25" customHeight="1">
      <c r="E171" s="50"/>
      <c r="F171" s="50"/>
      <c r="G171" s="53"/>
      <c r="K171" s="820"/>
      <c r="L171" s="271"/>
      <c r="M171" s="820"/>
      <c r="N171" s="271"/>
      <c r="O171" s="820"/>
      <c r="P171" s="271"/>
      <c r="Q171" s="820"/>
      <c r="R171" s="271"/>
      <c r="S171" s="820"/>
      <c r="T171" s="271"/>
      <c r="U171" s="820"/>
      <c r="V171" s="271"/>
    </row>
    <row r="172" spans="5:22" ht="14.25" customHeight="1">
      <c r="E172" s="50"/>
      <c r="F172" s="50"/>
      <c r="G172" s="53"/>
      <c r="K172" s="820"/>
      <c r="L172" s="271"/>
      <c r="M172" s="820"/>
      <c r="N172" s="271"/>
      <c r="O172" s="820"/>
      <c r="P172" s="271"/>
      <c r="Q172" s="820"/>
      <c r="R172" s="271"/>
      <c r="S172" s="820"/>
      <c r="T172" s="271"/>
      <c r="U172" s="820"/>
      <c r="V172" s="271"/>
    </row>
    <row r="173" spans="5:22" ht="14.25" customHeight="1">
      <c r="E173" s="50"/>
      <c r="F173" s="50"/>
      <c r="G173" s="53"/>
      <c r="K173" s="820"/>
      <c r="L173" s="271"/>
      <c r="M173" s="820"/>
      <c r="N173" s="271"/>
      <c r="O173" s="820"/>
      <c r="P173" s="271"/>
      <c r="Q173" s="820"/>
      <c r="R173" s="271"/>
      <c r="S173" s="820"/>
      <c r="T173" s="271"/>
      <c r="U173" s="820"/>
      <c r="V173" s="271"/>
    </row>
    <row r="174" spans="5:22" ht="14.25" customHeight="1">
      <c r="E174" s="50"/>
      <c r="F174" s="50"/>
      <c r="G174" s="53"/>
      <c r="K174" s="820"/>
      <c r="L174" s="271"/>
      <c r="M174" s="820"/>
      <c r="N174" s="271"/>
      <c r="O174" s="820"/>
      <c r="P174" s="271"/>
      <c r="Q174" s="820"/>
      <c r="R174" s="271"/>
      <c r="S174" s="820"/>
      <c r="T174" s="271"/>
      <c r="U174" s="820"/>
      <c r="V174" s="271"/>
    </row>
    <row r="175" spans="5:22" ht="14.25" customHeight="1">
      <c r="E175" s="50"/>
      <c r="F175" s="50"/>
      <c r="G175" s="53"/>
      <c r="K175" s="820"/>
      <c r="L175" s="271"/>
      <c r="M175" s="820"/>
      <c r="N175" s="271"/>
      <c r="O175" s="820"/>
      <c r="P175" s="271"/>
      <c r="Q175" s="820"/>
      <c r="R175" s="271"/>
      <c r="S175" s="820"/>
      <c r="T175" s="271"/>
      <c r="U175" s="820"/>
      <c r="V175" s="271"/>
    </row>
    <row r="176" spans="5:22" ht="14.25" customHeight="1">
      <c r="E176" s="50"/>
      <c r="F176" s="50"/>
      <c r="G176" s="53"/>
      <c r="K176" s="820"/>
      <c r="L176" s="271"/>
      <c r="M176" s="820"/>
      <c r="N176" s="271"/>
      <c r="O176" s="820"/>
      <c r="P176" s="271"/>
      <c r="Q176" s="820"/>
      <c r="R176" s="271"/>
      <c r="S176" s="820"/>
      <c r="T176" s="271"/>
      <c r="U176" s="820"/>
      <c r="V176" s="271"/>
    </row>
    <row r="177" spans="5:22" ht="14.25" customHeight="1">
      <c r="E177" s="50"/>
      <c r="F177" s="50"/>
      <c r="G177" s="53"/>
      <c r="K177" s="820"/>
      <c r="L177" s="271"/>
      <c r="M177" s="820"/>
      <c r="N177" s="271"/>
      <c r="O177" s="820"/>
      <c r="P177" s="271"/>
      <c r="Q177" s="820"/>
      <c r="R177" s="271"/>
      <c r="S177" s="820"/>
      <c r="T177" s="271"/>
      <c r="U177" s="820"/>
      <c r="V177" s="271"/>
    </row>
    <row r="178" spans="5:22" ht="14.25" customHeight="1">
      <c r="E178" s="50"/>
      <c r="F178" s="50"/>
      <c r="G178" s="53"/>
      <c r="K178" s="820"/>
      <c r="L178" s="271"/>
      <c r="M178" s="820"/>
      <c r="N178" s="271"/>
      <c r="O178" s="820"/>
      <c r="P178" s="271"/>
      <c r="Q178" s="820"/>
      <c r="R178" s="271"/>
      <c r="S178" s="820"/>
      <c r="T178" s="271"/>
      <c r="U178" s="820"/>
      <c r="V178" s="271"/>
    </row>
    <row r="179" spans="5:22" ht="14.25" customHeight="1">
      <c r="E179" s="50"/>
      <c r="F179" s="50"/>
      <c r="G179" s="53"/>
      <c r="K179" s="820"/>
      <c r="L179" s="271"/>
      <c r="M179" s="820"/>
      <c r="N179" s="271"/>
      <c r="O179" s="820"/>
      <c r="P179" s="271"/>
      <c r="Q179" s="820"/>
      <c r="R179" s="271"/>
      <c r="S179" s="820"/>
      <c r="T179" s="271"/>
      <c r="U179" s="820"/>
      <c r="V179" s="271"/>
    </row>
    <row r="180" spans="5:22" ht="14.25" customHeight="1">
      <c r="E180" s="50"/>
      <c r="F180" s="50"/>
      <c r="G180" s="53"/>
      <c r="K180" s="820"/>
      <c r="L180" s="271"/>
      <c r="M180" s="820"/>
      <c r="N180" s="271"/>
      <c r="O180" s="820"/>
      <c r="P180" s="271"/>
      <c r="Q180" s="820"/>
      <c r="R180" s="271"/>
      <c r="S180" s="820"/>
      <c r="T180" s="271"/>
      <c r="U180" s="820"/>
      <c r="V180" s="271"/>
    </row>
    <row r="181" spans="5:22" ht="14.25" customHeight="1">
      <c r="E181" s="50"/>
      <c r="F181" s="50"/>
      <c r="G181" s="53"/>
      <c r="K181" s="820"/>
      <c r="L181" s="271"/>
      <c r="M181" s="820"/>
      <c r="N181" s="271"/>
      <c r="O181" s="820"/>
      <c r="P181" s="271"/>
      <c r="Q181" s="820"/>
      <c r="R181" s="271"/>
      <c r="S181" s="820"/>
      <c r="T181" s="271"/>
      <c r="U181" s="820"/>
      <c r="V181" s="271"/>
    </row>
    <row r="182" spans="5:22" ht="14.25" customHeight="1">
      <c r="E182" s="50"/>
      <c r="F182" s="50"/>
      <c r="G182" s="53"/>
      <c r="K182" s="820"/>
      <c r="L182" s="271"/>
      <c r="M182" s="820"/>
      <c r="N182" s="271"/>
      <c r="O182" s="820"/>
      <c r="P182" s="271"/>
      <c r="Q182" s="820"/>
      <c r="R182" s="271"/>
      <c r="S182" s="820"/>
      <c r="T182" s="271"/>
      <c r="U182" s="820"/>
      <c r="V182" s="271"/>
    </row>
    <row r="183" spans="5:22" ht="14.25" customHeight="1">
      <c r="E183" s="50"/>
      <c r="F183" s="50"/>
      <c r="G183" s="53"/>
      <c r="K183" s="820"/>
      <c r="L183" s="271"/>
      <c r="M183" s="820"/>
      <c r="N183" s="271"/>
      <c r="O183" s="820"/>
      <c r="P183" s="271"/>
      <c r="Q183" s="820"/>
      <c r="R183" s="271"/>
      <c r="S183" s="820"/>
      <c r="T183" s="271"/>
      <c r="U183" s="820"/>
      <c r="V183" s="271"/>
    </row>
    <row r="184" spans="5:22" s="417" customFormat="1" ht="14.25" customHeight="1">
      <c r="E184" s="52"/>
      <c r="F184" s="52"/>
      <c r="G184" s="54"/>
      <c r="K184" s="52"/>
      <c r="L184" s="418"/>
      <c r="M184" s="52"/>
      <c r="N184" s="418"/>
      <c r="O184" s="52"/>
      <c r="P184" s="418"/>
      <c r="Q184" s="52"/>
      <c r="R184" s="418"/>
      <c r="S184" s="52"/>
      <c r="T184" s="418"/>
      <c r="U184" s="52"/>
      <c r="V184" s="418"/>
    </row>
    <row r="185" spans="5:22" ht="14.25" customHeight="1">
      <c r="E185" s="50"/>
      <c r="F185" s="50"/>
      <c r="G185" s="53"/>
      <c r="K185" s="820"/>
      <c r="L185" s="271"/>
      <c r="M185" s="820"/>
      <c r="N185" s="271"/>
      <c r="O185" s="820"/>
      <c r="P185" s="271"/>
      <c r="Q185" s="820"/>
      <c r="R185" s="271"/>
      <c r="S185" s="820"/>
      <c r="T185" s="271"/>
      <c r="U185" s="820"/>
      <c r="V185" s="271"/>
    </row>
  </sheetData>
  <sheetProtection algorithmName="SHA-512" hashValue="JTflSx7BJBmQy+HXfKoUIYJB6O1ZZWtXpsVtzSba+uVFXMJqLF8AloHmi241EkJn7vlS4oiUU+TxJXyVNs6mGg==" saltValue="AQW9EERP2PRi40mwuXLT2w==" spinCount="100000" sheet="1" objects="1" scenarios="1"/>
  <mergeCells count="356">
    <mergeCell ref="A1:C1"/>
    <mergeCell ref="J2:L2"/>
    <mergeCell ref="M2:O2"/>
    <mergeCell ref="P2:R2"/>
    <mergeCell ref="S2:U2"/>
    <mergeCell ref="V2:X2"/>
    <mergeCell ref="Y2:AA2"/>
    <mergeCell ref="F62:G62"/>
    <mergeCell ref="J59:L59"/>
    <mergeCell ref="M59:O59"/>
    <mergeCell ref="P59:R59"/>
    <mergeCell ref="S59:U59"/>
    <mergeCell ref="V59:X59"/>
    <mergeCell ref="Y59:AA59"/>
    <mergeCell ref="J58:L58"/>
    <mergeCell ref="M58:O58"/>
    <mergeCell ref="P58:R58"/>
    <mergeCell ref="S58:U58"/>
    <mergeCell ref="V58:X58"/>
    <mergeCell ref="Y58:AA58"/>
    <mergeCell ref="J57:L57"/>
    <mergeCell ref="M57:O57"/>
    <mergeCell ref="P57:R57"/>
    <mergeCell ref="S57:U57"/>
    <mergeCell ref="V57:X57"/>
    <mergeCell ref="Y57:AA57"/>
    <mergeCell ref="J54:L54"/>
    <mergeCell ref="M54:O54"/>
    <mergeCell ref="P54:R54"/>
    <mergeCell ref="S54:U54"/>
    <mergeCell ref="V54:X54"/>
    <mergeCell ref="Y54:AA54"/>
    <mergeCell ref="J55:L55"/>
    <mergeCell ref="M55:O55"/>
    <mergeCell ref="P55:R55"/>
    <mergeCell ref="S55:U55"/>
    <mergeCell ref="V55:X55"/>
    <mergeCell ref="Y55:AA55"/>
    <mergeCell ref="J56:L56"/>
    <mergeCell ref="M56:O56"/>
    <mergeCell ref="P56:R56"/>
    <mergeCell ref="S56:U56"/>
    <mergeCell ref="V56:X56"/>
    <mergeCell ref="Y56:AA56"/>
    <mergeCell ref="J53:L53"/>
    <mergeCell ref="M53:O53"/>
    <mergeCell ref="P53:R53"/>
    <mergeCell ref="S53:U53"/>
    <mergeCell ref="V53:X53"/>
    <mergeCell ref="Y53:AA53"/>
    <mergeCell ref="J51:L51"/>
    <mergeCell ref="M51:O51"/>
    <mergeCell ref="P51:R51"/>
    <mergeCell ref="S51:U51"/>
    <mergeCell ref="V51:X51"/>
    <mergeCell ref="Y51:AA51"/>
    <mergeCell ref="J52:L52"/>
    <mergeCell ref="M52:O52"/>
    <mergeCell ref="P52:R52"/>
    <mergeCell ref="S52:U52"/>
    <mergeCell ref="V52:X52"/>
    <mergeCell ref="Y52:AA52"/>
    <mergeCell ref="J46:L46"/>
    <mergeCell ref="M46:O46"/>
    <mergeCell ref="P46:R46"/>
    <mergeCell ref="S46:U46"/>
    <mergeCell ref="V46:X46"/>
    <mergeCell ref="Y46:AA46"/>
    <mergeCell ref="J50:L50"/>
    <mergeCell ref="M50:O50"/>
    <mergeCell ref="P50:R50"/>
    <mergeCell ref="S50:U50"/>
    <mergeCell ref="V50:X50"/>
    <mergeCell ref="Y50:AA50"/>
    <mergeCell ref="J48:L48"/>
    <mergeCell ref="M48:O48"/>
    <mergeCell ref="P48:R48"/>
    <mergeCell ref="S48:U48"/>
    <mergeCell ref="V48:X48"/>
    <mergeCell ref="Y48:AA48"/>
    <mergeCell ref="J36:L36"/>
    <mergeCell ref="M36:O36"/>
    <mergeCell ref="P36:R36"/>
    <mergeCell ref="S36:U36"/>
    <mergeCell ref="V36:X36"/>
    <mergeCell ref="Y36:AA36"/>
    <mergeCell ref="J45:L45"/>
    <mergeCell ref="M45:O45"/>
    <mergeCell ref="P45:R45"/>
    <mergeCell ref="S45:U45"/>
    <mergeCell ref="V45:X45"/>
    <mergeCell ref="Y45:AA45"/>
    <mergeCell ref="J43:L43"/>
    <mergeCell ref="M43:O43"/>
    <mergeCell ref="P43:R43"/>
    <mergeCell ref="S43:U43"/>
    <mergeCell ref="V43:X43"/>
    <mergeCell ref="Y43:AA43"/>
    <mergeCell ref="J44:L44"/>
    <mergeCell ref="M44:O44"/>
    <mergeCell ref="P44:R44"/>
    <mergeCell ref="S44:U44"/>
    <mergeCell ref="V44:X44"/>
    <mergeCell ref="Y44:AA44"/>
    <mergeCell ref="J34:L34"/>
    <mergeCell ref="M34:O34"/>
    <mergeCell ref="P34:R34"/>
    <mergeCell ref="S34:U34"/>
    <mergeCell ref="V34:X34"/>
    <mergeCell ref="Y34:AA34"/>
    <mergeCell ref="J35:L35"/>
    <mergeCell ref="M35:O35"/>
    <mergeCell ref="P35:R35"/>
    <mergeCell ref="S35:U35"/>
    <mergeCell ref="V35:X35"/>
    <mergeCell ref="Y35:AA35"/>
    <mergeCell ref="J33:L33"/>
    <mergeCell ref="M33:O33"/>
    <mergeCell ref="P33:R33"/>
    <mergeCell ref="S33:U33"/>
    <mergeCell ref="V33:X33"/>
    <mergeCell ref="Y33:AA33"/>
    <mergeCell ref="J32:L32"/>
    <mergeCell ref="M32:O32"/>
    <mergeCell ref="P32:R32"/>
    <mergeCell ref="S32:U32"/>
    <mergeCell ref="V32:X32"/>
    <mergeCell ref="Y32:AA32"/>
    <mergeCell ref="J31:L31"/>
    <mergeCell ref="M31:O31"/>
    <mergeCell ref="P31:R31"/>
    <mergeCell ref="S31:U31"/>
    <mergeCell ref="V31:X31"/>
    <mergeCell ref="Y31:AA31"/>
    <mergeCell ref="J30:L30"/>
    <mergeCell ref="M30:O30"/>
    <mergeCell ref="P30:R30"/>
    <mergeCell ref="S30:U30"/>
    <mergeCell ref="V30:X30"/>
    <mergeCell ref="Y30:AA30"/>
    <mergeCell ref="J29:L29"/>
    <mergeCell ref="M29:O29"/>
    <mergeCell ref="P29:R29"/>
    <mergeCell ref="S29:U29"/>
    <mergeCell ref="V29:X29"/>
    <mergeCell ref="Y29:AA29"/>
    <mergeCell ref="J28:L28"/>
    <mergeCell ref="M28:O28"/>
    <mergeCell ref="P28:R28"/>
    <mergeCell ref="S28:U28"/>
    <mergeCell ref="V28:X28"/>
    <mergeCell ref="Y28:AA28"/>
    <mergeCell ref="J27:L27"/>
    <mergeCell ref="M27:O27"/>
    <mergeCell ref="P27:R27"/>
    <mergeCell ref="S27:U27"/>
    <mergeCell ref="V27:X27"/>
    <mergeCell ref="Y27:AA27"/>
    <mergeCell ref="J26:L26"/>
    <mergeCell ref="M26:O26"/>
    <mergeCell ref="P26:R26"/>
    <mergeCell ref="S26:U26"/>
    <mergeCell ref="V26:X26"/>
    <mergeCell ref="Y26:AA26"/>
    <mergeCell ref="J25:L25"/>
    <mergeCell ref="M25:O25"/>
    <mergeCell ref="P25:R25"/>
    <mergeCell ref="S25:U25"/>
    <mergeCell ref="V25:X25"/>
    <mergeCell ref="Y25:AA25"/>
    <mergeCell ref="J24:L24"/>
    <mergeCell ref="M24:O24"/>
    <mergeCell ref="P24:R24"/>
    <mergeCell ref="S24:U24"/>
    <mergeCell ref="V24:X24"/>
    <mergeCell ref="Y24:AA24"/>
    <mergeCell ref="J23:L23"/>
    <mergeCell ref="M23:O23"/>
    <mergeCell ref="P23:R23"/>
    <mergeCell ref="S23:U23"/>
    <mergeCell ref="V23:X23"/>
    <mergeCell ref="Y23:AA23"/>
    <mergeCell ref="J22:L22"/>
    <mergeCell ref="M22:O22"/>
    <mergeCell ref="P22:R22"/>
    <mergeCell ref="S22:U22"/>
    <mergeCell ref="V22:X22"/>
    <mergeCell ref="Y22:AA22"/>
    <mergeCell ref="J21:L21"/>
    <mergeCell ref="M21:O21"/>
    <mergeCell ref="P21:R21"/>
    <mergeCell ref="S21:U21"/>
    <mergeCell ref="V21:X21"/>
    <mergeCell ref="Y21:AA21"/>
    <mergeCell ref="J20:L20"/>
    <mergeCell ref="M20:O20"/>
    <mergeCell ref="P20:R20"/>
    <mergeCell ref="S20:U20"/>
    <mergeCell ref="V20:X20"/>
    <mergeCell ref="Y20:AA20"/>
    <mergeCell ref="J19:L19"/>
    <mergeCell ref="M19:O19"/>
    <mergeCell ref="P19:R19"/>
    <mergeCell ref="S19:U19"/>
    <mergeCell ref="V19:X19"/>
    <mergeCell ref="Y19:AA19"/>
    <mergeCell ref="J18:L18"/>
    <mergeCell ref="M18:O18"/>
    <mergeCell ref="P18:R18"/>
    <mergeCell ref="S18:U18"/>
    <mergeCell ref="V18:X18"/>
    <mergeCell ref="Y18:AA18"/>
    <mergeCell ref="J17:L17"/>
    <mergeCell ref="M17:O17"/>
    <mergeCell ref="P17:R17"/>
    <mergeCell ref="S17:U17"/>
    <mergeCell ref="V17:X17"/>
    <mergeCell ref="Y17:AA17"/>
    <mergeCell ref="J16:L16"/>
    <mergeCell ref="M16:O16"/>
    <mergeCell ref="P16:R16"/>
    <mergeCell ref="S16:U16"/>
    <mergeCell ref="V16:X16"/>
    <mergeCell ref="Y16:AA16"/>
    <mergeCell ref="J15:L15"/>
    <mergeCell ref="M15:O15"/>
    <mergeCell ref="P15:R15"/>
    <mergeCell ref="S15:U15"/>
    <mergeCell ref="V15:X15"/>
    <mergeCell ref="Y15:AA15"/>
    <mergeCell ref="J14:L14"/>
    <mergeCell ref="M14:O14"/>
    <mergeCell ref="P14:R14"/>
    <mergeCell ref="S14:U14"/>
    <mergeCell ref="V14:X14"/>
    <mergeCell ref="Y14:AA14"/>
    <mergeCell ref="J13:L13"/>
    <mergeCell ref="M13:O13"/>
    <mergeCell ref="P13:R13"/>
    <mergeCell ref="S13:U13"/>
    <mergeCell ref="V13:X13"/>
    <mergeCell ref="Y13:AA13"/>
    <mergeCell ref="J12:L12"/>
    <mergeCell ref="M12:O12"/>
    <mergeCell ref="P12:R12"/>
    <mergeCell ref="S12:U12"/>
    <mergeCell ref="V12:X12"/>
    <mergeCell ref="Y12:AA12"/>
    <mergeCell ref="J11:L11"/>
    <mergeCell ref="M11:O11"/>
    <mergeCell ref="P11:R11"/>
    <mergeCell ref="S11:U11"/>
    <mergeCell ref="V11:X11"/>
    <mergeCell ref="Y11:AA11"/>
    <mergeCell ref="J10:L10"/>
    <mergeCell ref="M10:O10"/>
    <mergeCell ref="P10:R10"/>
    <mergeCell ref="S10:U10"/>
    <mergeCell ref="V10:X10"/>
    <mergeCell ref="Y10:AA10"/>
    <mergeCell ref="J9:L9"/>
    <mergeCell ref="M9:O9"/>
    <mergeCell ref="P9:R9"/>
    <mergeCell ref="S9:U9"/>
    <mergeCell ref="V9:X9"/>
    <mergeCell ref="Y9:AA9"/>
    <mergeCell ref="J8:L8"/>
    <mergeCell ref="M8:O8"/>
    <mergeCell ref="P8:R8"/>
    <mergeCell ref="S8:U8"/>
    <mergeCell ref="V8:X8"/>
    <mergeCell ref="Y8:AA8"/>
    <mergeCell ref="J7:L7"/>
    <mergeCell ref="M7:O7"/>
    <mergeCell ref="P7:R7"/>
    <mergeCell ref="S7:U7"/>
    <mergeCell ref="V7:X7"/>
    <mergeCell ref="Y7:AA7"/>
    <mergeCell ref="J6:L6"/>
    <mergeCell ref="M6:O6"/>
    <mergeCell ref="P6:R6"/>
    <mergeCell ref="S6:U6"/>
    <mergeCell ref="V6:X6"/>
    <mergeCell ref="Y6:AA6"/>
    <mergeCell ref="J1:L1"/>
    <mergeCell ref="M1:O1"/>
    <mergeCell ref="P1:R1"/>
    <mergeCell ref="S1:U1"/>
    <mergeCell ref="V1:X1"/>
    <mergeCell ref="Y1:AA1"/>
    <mergeCell ref="J5:L5"/>
    <mergeCell ref="M5:O5"/>
    <mergeCell ref="P5:R5"/>
    <mergeCell ref="S5:U5"/>
    <mergeCell ref="V5:X5"/>
    <mergeCell ref="Y5:AA5"/>
    <mergeCell ref="J3:L3"/>
    <mergeCell ref="M3:O3"/>
    <mergeCell ref="P3:R3"/>
    <mergeCell ref="S3:U3"/>
    <mergeCell ref="V3:X3"/>
    <mergeCell ref="Y3:AA3"/>
    <mergeCell ref="J4:L4"/>
    <mergeCell ref="M4:O4"/>
    <mergeCell ref="P4:R4"/>
    <mergeCell ref="S4:U4"/>
    <mergeCell ref="V4:X4"/>
    <mergeCell ref="Y4:AA4"/>
    <mergeCell ref="J37:L37"/>
    <mergeCell ref="M37:O37"/>
    <mergeCell ref="P37:R37"/>
    <mergeCell ref="S37:U37"/>
    <mergeCell ref="V37:X37"/>
    <mergeCell ref="Y37:AA37"/>
    <mergeCell ref="J38:L38"/>
    <mergeCell ref="M38:O38"/>
    <mergeCell ref="P38:R38"/>
    <mergeCell ref="S38:U38"/>
    <mergeCell ref="V38:X38"/>
    <mergeCell ref="Y38:AA38"/>
    <mergeCell ref="J39:L39"/>
    <mergeCell ref="M39:O39"/>
    <mergeCell ref="P39:R39"/>
    <mergeCell ref="S39:U39"/>
    <mergeCell ref="V39:X39"/>
    <mergeCell ref="Y39:AA39"/>
    <mergeCell ref="J40:L40"/>
    <mergeCell ref="M40:O40"/>
    <mergeCell ref="P40:R40"/>
    <mergeCell ref="S40:U40"/>
    <mergeCell ref="V40:X40"/>
    <mergeCell ref="Y40:AA40"/>
    <mergeCell ref="J41:L41"/>
    <mergeCell ref="M41:O41"/>
    <mergeCell ref="P41:R41"/>
    <mergeCell ref="S41:U41"/>
    <mergeCell ref="V41:X41"/>
    <mergeCell ref="Y41:AA41"/>
    <mergeCell ref="J49:L49"/>
    <mergeCell ref="M49:O49"/>
    <mergeCell ref="P49:R49"/>
    <mergeCell ref="S49:U49"/>
    <mergeCell ref="V49:X49"/>
    <mergeCell ref="Y49:AA49"/>
    <mergeCell ref="J42:L42"/>
    <mergeCell ref="M42:O42"/>
    <mergeCell ref="P42:R42"/>
    <mergeCell ref="S42:U42"/>
    <mergeCell ref="V42:X42"/>
    <mergeCell ref="Y42:AA42"/>
    <mergeCell ref="J47:L47"/>
    <mergeCell ref="M47:O47"/>
    <mergeCell ref="P47:R47"/>
    <mergeCell ref="S47:U47"/>
    <mergeCell ref="V47:X47"/>
    <mergeCell ref="Y47:AA47"/>
  </mergeCells>
  <pageMargins left="0.7" right="0.7" top="0.78740157499999996" bottom="0.78740157499999996" header="0.3" footer="0.3"/>
  <pageSetup paperSize="9" orientation="portrait" horizontalDpi="30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A3C95-D9B1-41C2-B3A3-C71F9243BC19}">
  <sheetPr>
    <tabColor theme="8" tint="0.79998168889431442"/>
  </sheetPr>
  <dimension ref="A1:AB176"/>
  <sheetViews>
    <sheetView workbookViewId="0">
      <pane ySplit="1" topLeftCell="A2" activePane="bottomLeft" state="frozen"/>
      <selection pane="bottomLeft" sqref="A1:C1"/>
    </sheetView>
  </sheetViews>
  <sheetFormatPr baseColWidth="10" defaultColWidth="11.42578125" defaultRowHeight="14.25" customHeight="1"/>
  <cols>
    <col min="1" max="1" width="20.7109375" style="5" bestFit="1" customWidth="1"/>
    <col min="2" max="2" width="30.7109375" style="5" bestFit="1" customWidth="1"/>
    <col min="3" max="3" width="7.85546875" style="5" customWidth="1"/>
    <col min="4" max="4" width="7.7109375" style="5" bestFit="1" customWidth="1"/>
    <col min="5" max="5" width="15.28515625" style="5" customWidth="1"/>
    <col min="6" max="6" width="19.42578125" style="5" customWidth="1"/>
    <col min="7" max="7" width="3.5703125" style="6" bestFit="1" customWidth="1"/>
    <col min="8" max="8" width="15" style="5" bestFit="1" customWidth="1"/>
    <col min="9" max="9" width="1.5703125" style="5" customWidth="1"/>
    <col min="10" max="10" width="14.7109375" style="5" customWidth="1"/>
    <col min="11" max="11" width="18.7109375" style="5" customWidth="1"/>
    <col min="12" max="12" width="11.7109375" style="5" customWidth="1"/>
    <col min="13" max="13" width="14.7109375" style="5" customWidth="1"/>
    <col min="14" max="14" width="18.7109375" style="5" customWidth="1"/>
    <col min="15" max="15" width="11.7109375" style="5" customWidth="1"/>
    <col min="16" max="16" width="14.7109375" style="5" customWidth="1"/>
    <col min="17" max="17" width="18.7109375" style="5" customWidth="1"/>
    <col min="18" max="18" width="11.7109375" style="5" customWidth="1"/>
    <col min="19" max="19" width="14.7109375" style="5" customWidth="1"/>
    <col min="20" max="20" width="18.7109375" style="5" customWidth="1"/>
    <col min="21" max="21" width="11.7109375" style="5" customWidth="1"/>
    <col min="22" max="22" width="14.7109375" style="5" customWidth="1"/>
    <col min="23" max="23" width="18.7109375" style="5" customWidth="1"/>
    <col min="24" max="24" width="11.7109375" style="5" customWidth="1"/>
    <col min="25" max="25" width="14.7109375" style="5" customWidth="1"/>
    <col min="26" max="26" width="18.7109375" style="5" customWidth="1"/>
    <col min="27" max="27" width="11.7109375" style="5" customWidth="1"/>
    <col min="28" max="16384" width="11.42578125" style="5"/>
  </cols>
  <sheetData>
    <row r="1" spans="1:28" ht="14.25" customHeight="1">
      <c r="A1" s="1025" t="s">
        <v>51</v>
      </c>
      <c r="B1" s="1025"/>
      <c r="C1" s="1025"/>
      <c r="J1" s="1046" t="s">
        <v>46</v>
      </c>
      <c r="K1" s="1047"/>
      <c r="L1" s="1047"/>
      <c r="M1" s="1046" t="s">
        <v>498</v>
      </c>
      <c r="N1" s="1047"/>
      <c r="O1" s="1047"/>
      <c r="P1" s="1046" t="s">
        <v>499</v>
      </c>
      <c r="Q1" s="1047"/>
      <c r="R1" s="1047"/>
      <c r="S1" s="1046" t="s">
        <v>500</v>
      </c>
      <c r="T1" s="1047"/>
      <c r="U1" s="1047"/>
      <c r="V1" s="1046" t="s">
        <v>501</v>
      </c>
      <c r="W1" s="1047"/>
      <c r="X1" s="1047"/>
      <c r="Y1" s="1046" t="s">
        <v>502</v>
      </c>
      <c r="Z1" s="1047"/>
      <c r="AA1" s="1048"/>
      <c r="AB1" s="10"/>
    </row>
    <row r="2" spans="1:28" ht="8.25" customHeight="1">
      <c r="E2" s="55"/>
      <c r="F2" s="50"/>
      <c r="G2" s="53"/>
      <c r="H2" s="6"/>
      <c r="J2" s="1111"/>
      <c r="K2" s="975"/>
      <c r="L2" s="1112"/>
      <c r="M2" s="1111"/>
      <c r="N2" s="975"/>
      <c r="O2" s="975"/>
      <c r="P2" s="1111"/>
      <c r="Q2" s="975"/>
      <c r="R2" s="975"/>
      <c r="S2" s="1111"/>
      <c r="T2" s="975"/>
      <c r="U2" s="975"/>
      <c r="V2" s="1111"/>
      <c r="W2" s="975"/>
      <c r="X2" s="975"/>
      <c r="Y2" s="1111"/>
      <c r="Z2" s="975"/>
      <c r="AA2" s="1112"/>
      <c r="AB2" s="10"/>
    </row>
    <row r="3" spans="1:28" s="56" customFormat="1" ht="14.25" customHeight="1">
      <c r="F3" s="173" t="s">
        <v>55</v>
      </c>
      <c r="G3" s="174"/>
      <c r="H3" s="899" t="s">
        <v>5</v>
      </c>
      <c r="I3" s="899"/>
      <c r="J3" s="1138">
        <f>IF(Tunneldaten!E12="","",Tunneldaten!E14)</f>
        <v>0</v>
      </c>
      <c r="K3" s="1139"/>
      <c r="L3" s="1139"/>
      <c r="M3" s="1138" t="str">
        <f>IF(Tunneldaten!F12="","",Tunneldaten!F14)</f>
        <v/>
      </c>
      <c r="N3" s="1139"/>
      <c r="O3" s="1139"/>
      <c r="P3" s="1138" t="str">
        <f>IF(Tunneldaten!G12="","",Tunneldaten!G14)</f>
        <v/>
      </c>
      <c r="Q3" s="1139"/>
      <c r="R3" s="1139"/>
      <c r="S3" s="1138" t="str">
        <f>IF(Tunneldaten!H12="","",Tunneldaten!H14)</f>
        <v/>
      </c>
      <c r="T3" s="1139"/>
      <c r="U3" s="1139"/>
      <c r="V3" s="1138" t="str">
        <f>IF(Tunneldaten!I12="","",Tunneldaten!I14)</f>
        <v/>
      </c>
      <c r="W3" s="1139"/>
      <c r="X3" s="1139"/>
      <c r="Y3" s="1138" t="str">
        <f>IF(Tunneldaten!J12="","",Tunneldaten!J14)</f>
        <v/>
      </c>
      <c r="Z3" s="1139"/>
      <c r="AA3" s="1140"/>
      <c r="AB3" s="78"/>
    </row>
    <row r="4" spans="1:28" ht="14.25" customHeight="1">
      <c r="F4" s="267" t="s">
        <v>503</v>
      </c>
      <c r="G4" s="268"/>
      <c r="H4" s="269" t="s">
        <v>5</v>
      </c>
      <c r="I4" s="269"/>
      <c r="J4" s="1055" t="str">
        <f>IF(J3="SM",Tunneldaten!$E$15,"")</f>
        <v/>
      </c>
      <c r="K4" s="1056"/>
      <c r="L4" s="1057"/>
      <c r="M4" s="1055" t="str">
        <f>IF(M3="SM",Tunneldaten!$F$15,"")</f>
        <v/>
      </c>
      <c r="N4" s="1056"/>
      <c r="O4" s="1057"/>
      <c r="P4" s="1055" t="str">
        <f>IF(P3="SM",Tunneldaten!$G$15,"")</f>
        <v/>
      </c>
      <c r="Q4" s="1056"/>
      <c r="R4" s="1057"/>
      <c r="S4" s="1055" t="str">
        <f>IF(S3="SM",Tunneldaten!$H$15,"")</f>
        <v/>
      </c>
      <c r="T4" s="1056"/>
      <c r="U4" s="1057"/>
      <c r="V4" s="1055" t="str">
        <f>IF(V3="SM",Tunneldaten!$I$15,"")</f>
        <v/>
      </c>
      <c r="W4" s="1056"/>
      <c r="X4" s="1057"/>
      <c r="Y4" s="1055" t="str">
        <f>IF(Y3="SM",Tunneldaten!$J$15,"")</f>
        <v/>
      </c>
      <c r="Z4" s="1056"/>
      <c r="AA4" s="1057"/>
      <c r="AB4" s="10"/>
    </row>
    <row r="5" spans="1:28" s="56" customFormat="1" ht="14.25" customHeight="1">
      <c r="F5" s="175" t="s">
        <v>457</v>
      </c>
      <c r="G5" s="176"/>
      <c r="H5" s="142" t="s">
        <v>62</v>
      </c>
      <c r="I5" s="142"/>
      <c r="J5" s="1135" t="str">
        <f>IF(J$3&lt;&gt;$A$1,"",'Bau-Geometrie'!C25)</f>
        <v/>
      </c>
      <c r="K5" s="1136"/>
      <c r="L5" s="1136"/>
      <c r="M5" s="1135" t="str">
        <f>IF(M$3&lt;&gt;$A$1,"",'Bau-Geometrie'!D25)</f>
        <v/>
      </c>
      <c r="N5" s="1136"/>
      <c r="O5" s="1136"/>
      <c r="P5" s="1135" t="str">
        <f>IF(P$3&lt;&gt;$A$1,"",'Bau-Geometrie'!E25)</f>
        <v/>
      </c>
      <c r="Q5" s="1136"/>
      <c r="R5" s="1136"/>
      <c r="S5" s="1135" t="str">
        <f>IF(S$3&lt;&gt;$A$1,"",'Bau-Geometrie'!F25)</f>
        <v/>
      </c>
      <c r="T5" s="1136"/>
      <c r="U5" s="1136"/>
      <c r="V5" s="1135" t="str">
        <f>IF(V$3&lt;&gt;$A$1,"",'Bau-Geometrie'!G25)</f>
        <v/>
      </c>
      <c r="W5" s="1136"/>
      <c r="X5" s="1136"/>
      <c r="Y5" s="1135" t="str">
        <f>IF(Y$3&lt;&gt;$A$1,"",'Bau-Geometrie'!H25)</f>
        <v/>
      </c>
      <c r="Z5" s="1136"/>
      <c r="AA5" s="1137"/>
      <c r="AB5" s="78"/>
    </row>
    <row r="6" spans="1:28" s="56" customFormat="1" ht="14.25" customHeight="1">
      <c r="F6" s="177" t="s">
        <v>458</v>
      </c>
      <c r="G6" s="178"/>
      <c r="H6" s="139" t="s">
        <v>62</v>
      </c>
      <c r="I6" s="179"/>
      <c r="J6" s="1144" t="str">
        <f>IF(J$3&lt;&gt;$A$1,"",'Bau-Geometrie'!C26)</f>
        <v/>
      </c>
      <c r="K6" s="1145"/>
      <c r="L6" s="1145"/>
      <c r="M6" s="1144" t="str">
        <f>IF(M$3&lt;&gt;$A$1,"",'Bau-Geometrie'!D26)</f>
        <v/>
      </c>
      <c r="N6" s="1145"/>
      <c r="O6" s="1145"/>
      <c r="P6" s="1144" t="str">
        <f>IF(P$3&lt;&gt;$A$1,"",'Bau-Geometrie'!E26)</f>
        <v/>
      </c>
      <c r="Q6" s="1145"/>
      <c r="R6" s="1145"/>
      <c r="S6" s="1144" t="str">
        <f>IF(S$3&lt;&gt;$A$1,"",'Bau-Geometrie'!F26)</f>
        <v/>
      </c>
      <c r="T6" s="1145"/>
      <c r="U6" s="1145"/>
      <c r="V6" s="1144" t="str">
        <f>IF(V$3&lt;&gt;$A$1,"",'Bau-Geometrie'!G26)</f>
        <v/>
      </c>
      <c r="W6" s="1145"/>
      <c r="X6" s="1145"/>
      <c r="Y6" s="1144" t="str">
        <f>IF(Y$3&lt;&gt;$A$1,"",'Bau-Geometrie'!H26)</f>
        <v/>
      </c>
      <c r="Z6" s="1145"/>
      <c r="AA6" s="1146"/>
      <c r="AB6" s="78"/>
    </row>
    <row r="7" spans="1:28" s="56" customFormat="1" ht="14.25" customHeight="1">
      <c r="F7" s="180" t="s">
        <v>459</v>
      </c>
      <c r="G7" s="181"/>
      <c r="H7" s="131" t="s">
        <v>62</v>
      </c>
      <c r="I7" s="182"/>
      <c r="J7" s="1141" t="str">
        <f>IF(J$3&lt;&gt;$A$1,"",'Bau-Geometrie'!C27)</f>
        <v/>
      </c>
      <c r="K7" s="1142"/>
      <c r="L7" s="1142"/>
      <c r="M7" s="1141" t="str">
        <f>IF(M$3&lt;&gt;$A$1,"",'Bau-Geometrie'!D27)</f>
        <v/>
      </c>
      <c r="N7" s="1142"/>
      <c r="O7" s="1142"/>
      <c r="P7" s="1141" t="str">
        <f>IF(P$3&lt;&gt;$A$1,"",'Bau-Geometrie'!E27)</f>
        <v/>
      </c>
      <c r="Q7" s="1142"/>
      <c r="R7" s="1142"/>
      <c r="S7" s="1141" t="str">
        <f>IF(S$3&lt;&gt;$A$1,"",'Bau-Geometrie'!F27)</f>
        <v/>
      </c>
      <c r="T7" s="1142"/>
      <c r="U7" s="1142"/>
      <c r="V7" s="1141" t="str">
        <f>IF(V$3&lt;&gt;$A$1,"",'Bau-Geometrie'!G27)</f>
        <v/>
      </c>
      <c r="W7" s="1142"/>
      <c r="X7" s="1142"/>
      <c r="Y7" s="1141" t="str">
        <f>IF(Y$3&lt;&gt;$A$1,"",'Bau-Geometrie'!H27)</f>
        <v/>
      </c>
      <c r="Z7" s="1142"/>
      <c r="AA7" s="1143"/>
      <c r="AB7" s="78"/>
    </row>
    <row r="8" spans="1:28" s="56" customFormat="1" ht="14.25" customHeight="1">
      <c r="F8" s="183" t="s">
        <v>460</v>
      </c>
      <c r="G8" s="904"/>
      <c r="H8" s="132" t="s">
        <v>461</v>
      </c>
      <c r="I8" s="184"/>
      <c r="J8" s="1150" t="str">
        <f>IF(J$3&lt;&gt;$A$1,"",'Bau-Geometrie'!C28)</f>
        <v/>
      </c>
      <c r="K8" s="1151"/>
      <c r="L8" s="1151"/>
      <c r="M8" s="1150" t="str">
        <f>IF(M$3&lt;&gt;$A$1,"",'Bau-Geometrie'!D28)</f>
        <v/>
      </c>
      <c r="N8" s="1151"/>
      <c r="O8" s="1151"/>
      <c r="P8" s="1150" t="str">
        <f>IF(P$3&lt;&gt;$A$1,"",'Bau-Geometrie'!E28)</f>
        <v/>
      </c>
      <c r="Q8" s="1151"/>
      <c r="R8" s="1151"/>
      <c r="S8" s="1150" t="str">
        <f>IF(S$3&lt;&gt;$A$1,"",'Bau-Geometrie'!F28)</f>
        <v/>
      </c>
      <c r="T8" s="1151"/>
      <c r="U8" s="1151"/>
      <c r="V8" s="1150" t="str">
        <f>IF(V$3&lt;&gt;$A$1,"",'Bau-Geometrie'!G28)</f>
        <v/>
      </c>
      <c r="W8" s="1151"/>
      <c r="X8" s="1151"/>
      <c r="Y8" s="1150" t="str">
        <f>IF(Y$3&lt;&gt;$A$1,"",'Bau-Geometrie'!H28)</f>
        <v/>
      </c>
      <c r="Z8" s="1151"/>
      <c r="AA8" s="1152"/>
      <c r="AB8" s="78"/>
    </row>
    <row r="9" spans="1:28" s="147" customFormat="1" ht="14.25" customHeight="1">
      <c r="F9" s="199" t="s">
        <v>53</v>
      </c>
      <c r="G9" s="200"/>
      <c r="H9" s="201" t="s">
        <v>54</v>
      </c>
      <c r="I9" s="200"/>
      <c r="J9" s="1147" t="str">
        <f>IF(J$3&lt;&gt;$A$1,"",'Bau-Geometrie'!C17)</f>
        <v/>
      </c>
      <c r="K9" s="1148"/>
      <c r="L9" s="1148"/>
      <c r="M9" s="1147" t="str">
        <f>IF(M$3&lt;&gt;$A$1,"",'Bau-Geometrie'!D17)</f>
        <v/>
      </c>
      <c r="N9" s="1148"/>
      <c r="O9" s="1148"/>
      <c r="P9" s="1147" t="str">
        <f>IF(P$3&lt;&gt;$A$1,"",'Bau-Geometrie'!E17)</f>
        <v/>
      </c>
      <c r="Q9" s="1148"/>
      <c r="R9" s="1148"/>
      <c r="S9" s="1147" t="str">
        <f>IF(S$3&lt;&gt;$A$1,"",'Bau-Geometrie'!F17)</f>
        <v/>
      </c>
      <c r="T9" s="1148"/>
      <c r="U9" s="1148"/>
      <c r="V9" s="1147" t="str">
        <f>IF(V$3&lt;&gt;$A$1,"",'Bau-Geometrie'!G17)</f>
        <v/>
      </c>
      <c r="W9" s="1148"/>
      <c r="X9" s="1148"/>
      <c r="Y9" s="1147" t="str">
        <f>IF(Y$3&lt;&gt;$A$1,"",'Bau-Geometrie'!H17)</f>
        <v/>
      </c>
      <c r="Z9" s="1148"/>
      <c r="AA9" s="1149"/>
      <c r="AB9" s="151"/>
    </row>
    <row r="10" spans="1:28" s="147" customFormat="1" ht="14.25" customHeight="1">
      <c r="F10" s="160" t="s">
        <v>57</v>
      </c>
      <c r="G10" s="167"/>
      <c r="H10" s="157" t="s">
        <v>54</v>
      </c>
      <c r="I10" s="167"/>
      <c r="J10" s="1153" t="str">
        <f>IF(J$3&lt;&gt;$A$1,"",'Bau-Geometrie'!C18)</f>
        <v/>
      </c>
      <c r="K10" s="1154"/>
      <c r="L10" s="1154"/>
      <c r="M10" s="1153" t="str">
        <f>IF(M$3&lt;&gt;$A$1,"",'Bau-Geometrie'!D18)</f>
        <v/>
      </c>
      <c r="N10" s="1154"/>
      <c r="O10" s="1154"/>
      <c r="P10" s="1153" t="str">
        <f>IF(P$3&lt;&gt;$A$1,"",'Bau-Geometrie'!E18)</f>
        <v/>
      </c>
      <c r="Q10" s="1154"/>
      <c r="R10" s="1154"/>
      <c r="S10" s="1153" t="str">
        <f>IF(S$3&lt;&gt;$A$1,"",'Bau-Geometrie'!F18)</f>
        <v/>
      </c>
      <c r="T10" s="1154"/>
      <c r="U10" s="1154"/>
      <c r="V10" s="1153" t="str">
        <f>IF(V$3&lt;&gt;$A$1,"",'Bau-Geometrie'!G18)</f>
        <v/>
      </c>
      <c r="W10" s="1154"/>
      <c r="X10" s="1154"/>
      <c r="Y10" s="1153" t="str">
        <f>IF(Y$3&lt;&gt;$A$1,"",'Bau-Geometrie'!H18)</f>
        <v/>
      </c>
      <c r="Z10" s="1154"/>
      <c r="AA10" s="1155"/>
      <c r="AB10" s="151"/>
    </row>
    <row r="11" spans="1:28" s="147" customFormat="1" ht="14.25" customHeight="1">
      <c r="F11" s="160" t="s">
        <v>60</v>
      </c>
      <c r="G11" s="167"/>
      <c r="H11" s="157" t="s">
        <v>54</v>
      </c>
      <c r="I11" s="202"/>
      <c r="J11" s="1153" t="str">
        <f>IF(J$3&lt;&gt;$A$1,"",'Bau-Geometrie'!C19)</f>
        <v/>
      </c>
      <c r="K11" s="1154"/>
      <c r="L11" s="1154"/>
      <c r="M11" s="1153" t="str">
        <f>IF(M$3&lt;&gt;$A$1,"",'Bau-Geometrie'!D19)</f>
        <v/>
      </c>
      <c r="N11" s="1154"/>
      <c r="O11" s="1154"/>
      <c r="P11" s="1153" t="str">
        <f>IF(P$3&lt;&gt;$A$1,"",'Bau-Geometrie'!E19)</f>
        <v/>
      </c>
      <c r="Q11" s="1154"/>
      <c r="R11" s="1154"/>
      <c r="S11" s="1153" t="str">
        <f>IF(S$3&lt;&gt;$A$1,"",'Bau-Geometrie'!F19)</f>
        <v/>
      </c>
      <c r="T11" s="1154"/>
      <c r="U11" s="1154"/>
      <c r="V11" s="1153" t="str">
        <f>IF(V$3&lt;&gt;$A$1,"",'Bau-Geometrie'!G19)</f>
        <v/>
      </c>
      <c r="W11" s="1154"/>
      <c r="X11" s="1154"/>
      <c r="Y11" s="1153" t="str">
        <f>IF(Y$3&lt;&gt;$A$1,"",'Bau-Geometrie'!H19)</f>
        <v/>
      </c>
      <c r="Z11" s="1154"/>
      <c r="AA11" s="1155"/>
      <c r="AB11" s="151"/>
    </row>
    <row r="12" spans="1:28" s="147" customFormat="1" ht="14.25" customHeight="1">
      <c r="F12" s="160" t="s">
        <v>63</v>
      </c>
      <c r="G12" s="202"/>
      <c r="H12" s="157" t="s">
        <v>54</v>
      </c>
      <c r="I12" s="202"/>
      <c r="J12" s="1153" t="str">
        <f>IF(J$3&lt;&gt;$A$1,"",'Bau-Geometrie'!C20)</f>
        <v/>
      </c>
      <c r="K12" s="1154"/>
      <c r="L12" s="1154"/>
      <c r="M12" s="1153" t="str">
        <f>IF(M$3&lt;&gt;$A$1,"",'Bau-Geometrie'!D20)</f>
        <v/>
      </c>
      <c r="N12" s="1154"/>
      <c r="O12" s="1154"/>
      <c r="P12" s="1153" t="str">
        <f>IF(P$3&lt;&gt;$A$1,"",'Bau-Geometrie'!E20)</f>
        <v/>
      </c>
      <c r="Q12" s="1154"/>
      <c r="R12" s="1154"/>
      <c r="S12" s="1153" t="str">
        <f>IF(S$3&lt;&gt;$A$1,"",'Bau-Geometrie'!F20)</f>
        <v/>
      </c>
      <c r="T12" s="1154"/>
      <c r="U12" s="1154"/>
      <c r="V12" s="1153" t="str">
        <f>IF(V$3&lt;&gt;$A$1,"",'Bau-Geometrie'!G20)</f>
        <v/>
      </c>
      <c r="W12" s="1154"/>
      <c r="X12" s="1154"/>
      <c r="Y12" s="1153" t="str">
        <f>IF(Y$3&lt;&gt;$A$1,"",'Bau-Geometrie'!H20)</f>
        <v/>
      </c>
      <c r="Z12" s="1154"/>
      <c r="AA12" s="1155"/>
      <c r="AB12" s="151"/>
    </row>
    <row r="13" spans="1:28" s="147" customFormat="1" ht="14.25" customHeight="1">
      <c r="F13" s="160" t="s">
        <v>65</v>
      </c>
      <c r="G13" s="202"/>
      <c r="H13" s="157" t="s">
        <v>54</v>
      </c>
      <c r="I13" s="202"/>
      <c r="J13" s="1153" t="str">
        <f>IF(J$3&lt;&gt;$A$1,"",'Bau-Geometrie'!C21)</f>
        <v/>
      </c>
      <c r="K13" s="1154"/>
      <c r="L13" s="1154"/>
      <c r="M13" s="1153" t="str">
        <f>IF(M$3&lt;&gt;$A$1,"",'Bau-Geometrie'!D21)</f>
        <v/>
      </c>
      <c r="N13" s="1154"/>
      <c r="O13" s="1154"/>
      <c r="P13" s="1153" t="str">
        <f>IF(P$3&lt;&gt;$A$1,"",'Bau-Geometrie'!E21)</f>
        <v/>
      </c>
      <c r="Q13" s="1154"/>
      <c r="R13" s="1154"/>
      <c r="S13" s="1153" t="str">
        <f>IF(S$3&lt;&gt;$A$1,"",'Bau-Geometrie'!F21)</f>
        <v/>
      </c>
      <c r="T13" s="1154"/>
      <c r="U13" s="1154"/>
      <c r="V13" s="1153" t="str">
        <f>IF(V$3&lt;&gt;$A$1,"",'Bau-Geometrie'!G21)</f>
        <v/>
      </c>
      <c r="W13" s="1154"/>
      <c r="X13" s="1154"/>
      <c r="Y13" s="1153" t="str">
        <f>IF(Y$3&lt;&gt;$A$1,"",'Bau-Geometrie'!H21)</f>
        <v/>
      </c>
      <c r="Z13" s="1154"/>
      <c r="AA13" s="1155"/>
      <c r="AB13" s="151"/>
    </row>
    <row r="14" spans="1:28" s="147" customFormat="1" ht="14.25" customHeight="1">
      <c r="F14" s="148" t="s">
        <v>67</v>
      </c>
      <c r="G14" s="149"/>
      <c r="H14" s="150" t="s">
        <v>54</v>
      </c>
      <c r="I14" s="149"/>
      <c r="J14" s="1076" t="str">
        <f>IF(J$3&lt;&gt;$A$1,"",'Bau-Geometrie'!C22)</f>
        <v/>
      </c>
      <c r="K14" s="1077"/>
      <c r="L14" s="1077"/>
      <c r="M14" s="1076" t="str">
        <f>IF(M$3&lt;&gt;$A$1,"",'Bau-Geometrie'!D22)</f>
        <v/>
      </c>
      <c r="N14" s="1077"/>
      <c r="O14" s="1077"/>
      <c r="P14" s="1076" t="str">
        <f>IF(P$3&lt;&gt;$A$1,"",'Bau-Geometrie'!E22)</f>
        <v/>
      </c>
      <c r="Q14" s="1077"/>
      <c r="R14" s="1077"/>
      <c r="S14" s="1076" t="str">
        <f>IF(S$3&lt;&gt;$A$1,"",'Bau-Geometrie'!F22)</f>
        <v/>
      </c>
      <c r="T14" s="1077"/>
      <c r="U14" s="1077"/>
      <c r="V14" s="1076" t="str">
        <f>IF(V$3&lt;&gt;$A$1,"",'Bau-Geometrie'!G22)</f>
        <v/>
      </c>
      <c r="W14" s="1077"/>
      <c r="X14" s="1077"/>
      <c r="Y14" s="1076" t="str">
        <f>IF(Y$3&lt;&gt;$A$1,"",'Bau-Geometrie'!H22)</f>
        <v/>
      </c>
      <c r="Z14" s="1077"/>
      <c r="AA14" s="1078"/>
      <c r="AB14" s="151"/>
    </row>
    <row r="15" spans="1:28" s="147" customFormat="1" ht="14.25" customHeight="1">
      <c r="F15" s="152" t="s">
        <v>78</v>
      </c>
      <c r="G15" s="154"/>
      <c r="H15" s="153" t="s">
        <v>25</v>
      </c>
      <c r="I15" s="166"/>
      <c r="J15" s="1073" t="str">
        <f>IF(J$3&lt;&gt;$A$1,"",'Bau-Geometrie'!C29)</f>
        <v/>
      </c>
      <c r="K15" s="1074"/>
      <c r="L15" s="1074"/>
      <c r="M15" s="1073" t="str">
        <f>IF(M$3&lt;&gt;$A$1,"",'Bau-Geometrie'!D29)</f>
        <v/>
      </c>
      <c r="N15" s="1074"/>
      <c r="O15" s="1074"/>
      <c r="P15" s="1073" t="str">
        <f>IF(P$3&lt;&gt;$A$1,"",'Bau-Geometrie'!E29)</f>
        <v/>
      </c>
      <c r="Q15" s="1074"/>
      <c r="R15" s="1074"/>
      <c r="S15" s="1073" t="str">
        <f>IF(S$3&lt;&gt;$A$1,"",'Bau-Geometrie'!F29)</f>
        <v/>
      </c>
      <c r="T15" s="1074"/>
      <c r="U15" s="1074"/>
      <c r="V15" s="1073" t="str">
        <f>IF(V$3&lt;&gt;$A$1,"",'Bau-Geometrie'!G29)</f>
        <v/>
      </c>
      <c r="W15" s="1074"/>
      <c r="X15" s="1074"/>
      <c r="Y15" s="1073" t="str">
        <f>IF(Y$3&lt;&gt;$A$1,"",'Bau-Geometrie'!H29)</f>
        <v/>
      </c>
      <c r="Z15" s="1074"/>
      <c r="AA15" s="1075"/>
      <c r="AB15" s="151"/>
    </row>
    <row r="16" spans="1:28" s="147" customFormat="1" ht="14.25" customHeight="1">
      <c r="F16" s="156" t="s">
        <v>462</v>
      </c>
      <c r="G16" s="167"/>
      <c r="H16" s="157" t="s">
        <v>62</v>
      </c>
      <c r="I16" s="167"/>
      <c r="J16" s="1079" t="str">
        <f>IF(J$3&lt;&gt;$A$1,"",'Bau-Geometrie'!C30)</f>
        <v/>
      </c>
      <c r="K16" s="1080"/>
      <c r="L16" s="1080"/>
      <c r="M16" s="1079" t="str">
        <f>IF(M$3&lt;&gt;$A$1,"",'Bau-Geometrie'!D30)</f>
        <v/>
      </c>
      <c r="N16" s="1080"/>
      <c r="O16" s="1080"/>
      <c r="P16" s="1079" t="str">
        <f>IF(P$3&lt;&gt;$A$1,"",'Bau-Geometrie'!E30)</f>
        <v/>
      </c>
      <c r="Q16" s="1080"/>
      <c r="R16" s="1080"/>
      <c r="S16" s="1079" t="str">
        <f>IF(S$3&lt;&gt;$A$1,"",'Bau-Geometrie'!F30)</f>
        <v/>
      </c>
      <c r="T16" s="1080"/>
      <c r="U16" s="1080"/>
      <c r="V16" s="1079" t="str">
        <f>IF(V$3&lt;&gt;$A$1,"",'Bau-Geometrie'!G30)</f>
        <v/>
      </c>
      <c r="W16" s="1080"/>
      <c r="X16" s="1080"/>
      <c r="Y16" s="1079" t="str">
        <f>IF(Y$3&lt;&gt;$A$1,"",'Bau-Geometrie'!H30)</f>
        <v/>
      </c>
      <c r="Z16" s="1080"/>
      <c r="AA16" s="1081"/>
      <c r="AB16" s="151"/>
    </row>
    <row r="17" spans="6:28" s="147" customFormat="1" ht="14.25" customHeight="1">
      <c r="F17" s="160" t="s">
        <v>459</v>
      </c>
      <c r="G17" s="167"/>
      <c r="H17" s="157" t="s">
        <v>62</v>
      </c>
      <c r="I17" s="167"/>
      <c r="J17" s="1079" t="str">
        <f>IF(J$3&lt;&gt;$A$1,"",'Bau-Geometrie'!C31)</f>
        <v/>
      </c>
      <c r="K17" s="1080"/>
      <c r="L17" s="1080"/>
      <c r="M17" s="1079" t="str">
        <f>IF(M$3&lt;&gt;$A$1,"",'Bau-Geometrie'!D31)</f>
        <v/>
      </c>
      <c r="N17" s="1080"/>
      <c r="O17" s="1080"/>
      <c r="P17" s="1079" t="str">
        <f>IF(P$3&lt;&gt;$A$1,"",'Bau-Geometrie'!E31)</f>
        <v/>
      </c>
      <c r="Q17" s="1080"/>
      <c r="R17" s="1080"/>
      <c r="S17" s="1079" t="str">
        <f>IF(S$3&lt;&gt;$A$1,"",'Bau-Geometrie'!F31)</f>
        <v/>
      </c>
      <c r="T17" s="1080"/>
      <c r="U17" s="1080"/>
      <c r="V17" s="1079" t="str">
        <f>IF(V$3&lt;&gt;$A$1,"",'Bau-Geometrie'!G31)</f>
        <v/>
      </c>
      <c r="W17" s="1080"/>
      <c r="X17" s="1080"/>
      <c r="Y17" s="1079" t="str">
        <f>IF(Y$3&lt;&gt;$A$1,"",'Bau-Geometrie'!H31)</f>
        <v/>
      </c>
      <c r="Z17" s="1080"/>
      <c r="AA17" s="1081"/>
      <c r="AB17" s="151"/>
    </row>
    <row r="18" spans="6:28" s="147" customFormat="1" ht="14.25" customHeight="1">
      <c r="F18" s="161" t="s">
        <v>460</v>
      </c>
      <c r="G18" s="168"/>
      <c r="H18" s="162" t="s">
        <v>504</v>
      </c>
      <c r="I18" s="169"/>
      <c r="J18" s="1085" t="str">
        <f>IF(J$3&lt;&gt;$A$1,"",'Bau-Geometrie'!C32)</f>
        <v/>
      </c>
      <c r="K18" s="1086"/>
      <c r="L18" s="1086"/>
      <c r="M18" s="1085" t="str">
        <f>IF(M$3&lt;&gt;$A$1,"",'Bau-Geometrie'!D32)</f>
        <v/>
      </c>
      <c r="N18" s="1086"/>
      <c r="O18" s="1086"/>
      <c r="P18" s="1085" t="str">
        <f>IF(P$3&lt;&gt;$A$1,"",'Bau-Geometrie'!E32)</f>
        <v/>
      </c>
      <c r="Q18" s="1086"/>
      <c r="R18" s="1086"/>
      <c r="S18" s="1085" t="str">
        <f>IF(S$3&lt;&gt;$A$1,"",'Bau-Geometrie'!F32)</f>
        <v/>
      </c>
      <c r="T18" s="1086"/>
      <c r="U18" s="1086"/>
      <c r="V18" s="1085" t="str">
        <f>IF(V$3&lt;&gt;$A$1,"",'Bau-Geometrie'!G32)</f>
        <v/>
      </c>
      <c r="W18" s="1086"/>
      <c r="X18" s="1086"/>
      <c r="Y18" s="1085" t="str">
        <f>IF(Y$3&lt;&gt;$A$1,"",'Bau-Geometrie'!H32)</f>
        <v/>
      </c>
      <c r="Z18" s="1086"/>
      <c r="AA18" s="1087"/>
      <c r="AB18" s="151"/>
    </row>
    <row r="19" spans="6:28" s="56" customFormat="1" ht="14.25" customHeight="1">
      <c r="F19" s="185" t="s">
        <v>80</v>
      </c>
      <c r="G19" s="191"/>
      <c r="H19" s="140" t="s">
        <v>25</v>
      </c>
      <c r="I19" s="186"/>
      <c r="J19" s="1156" t="str">
        <f>IF(J$3&lt;&gt;$A$1,"",'Bau-Geometrie'!C33)</f>
        <v/>
      </c>
      <c r="K19" s="1157"/>
      <c r="L19" s="1157"/>
      <c r="M19" s="1156" t="str">
        <f>IF(M$3&lt;&gt;$A$1,"",'Bau-Geometrie'!D33)</f>
        <v/>
      </c>
      <c r="N19" s="1157"/>
      <c r="O19" s="1157"/>
      <c r="P19" s="1156" t="str">
        <f>IF(P$3&lt;&gt;$A$1,"",'Bau-Geometrie'!E33)</f>
        <v/>
      </c>
      <c r="Q19" s="1157"/>
      <c r="R19" s="1157"/>
      <c r="S19" s="1156" t="str">
        <f>IF(S$3&lt;&gt;$A$1,"",'Bau-Geometrie'!F33)</f>
        <v/>
      </c>
      <c r="T19" s="1157"/>
      <c r="U19" s="1157"/>
      <c r="V19" s="1158" t="str">
        <f>IF(V$3&lt;&gt;$A$1,"",'Bau-Geometrie'!G33)</f>
        <v/>
      </c>
      <c r="W19" s="1159"/>
      <c r="X19" s="1159"/>
      <c r="Y19" s="1158" t="str">
        <f>IF(Y$3&lt;&gt;$A$1,"",'Bau-Geometrie'!H33)</f>
        <v/>
      </c>
      <c r="Z19" s="1159"/>
      <c r="AA19" s="1160"/>
      <c r="AB19" s="78"/>
    </row>
    <row r="20" spans="6:28" s="56" customFormat="1" ht="14.25" customHeight="1">
      <c r="F20" s="189" t="s">
        <v>462</v>
      </c>
      <c r="G20" s="901"/>
      <c r="H20" s="131" t="s">
        <v>62</v>
      </c>
      <c r="I20" s="182"/>
      <c r="J20" s="1141" t="str">
        <f>IF(J$3&lt;&gt;$A$1,"",'Bau-Geometrie'!C34)</f>
        <v/>
      </c>
      <c r="K20" s="1142"/>
      <c r="L20" s="1142"/>
      <c r="M20" s="1141" t="str">
        <f>IF(M$3&lt;&gt;$A$1,"",'Bau-Geometrie'!D34)</f>
        <v/>
      </c>
      <c r="N20" s="1142"/>
      <c r="O20" s="1142"/>
      <c r="P20" s="1141" t="str">
        <f>IF(P$3&lt;&gt;$A$1,"",'Bau-Geometrie'!E34)</f>
        <v/>
      </c>
      <c r="Q20" s="1142"/>
      <c r="R20" s="1142"/>
      <c r="S20" s="1141" t="str">
        <f>IF(S$3&lt;&gt;$A$1,"",'Bau-Geometrie'!F34)</f>
        <v/>
      </c>
      <c r="T20" s="1142"/>
      <c r="U20" s="1142"/>
      <c r="V20" s="1141" t="str">
        <f>IF(V$3&lt;&gt;$A$1,"",'Bau-Geometrie'!G34)</f>
        <v/>
      </c>
      <c r="W20" s="1142"/>
      <c r="X20" s="1142"/>
      <c r="Y20" s="1141" t="str">
        <f>IF(Y$3&lt;&gt;$A$1,"",'Bau-Geometrie'!H34)</f>
        <v/>
      </c>
      <c r="Z20" s="1142"/>
      <c r="AA20" s="1143"/>
      <c r="AB20" s="78"/>
    </row>
    <row r="21" spans="6:28" s="56" customFormat="1" ht="14.25" customHeight="1">
      <c r="F21" s="180" t="s">
        <v>459</v>
      </c>
      <c r="G21" s="901"/>
      <c r="H21" s="131" t="s">
        <v>62</v>
      </c>
      <c r="I21" s="182"/>
      <c r="J21" s="1141" t="str">
        <f>IF(J$3&lt;&gt;$A$1,"",'Bau-Geometrie'!C35)</f>
        <v/>
      </c>
      <c r="K21" s="1142"/>
      <c r="L21" s="1142"/>
      <c r="M21" s="1141" t="str">
        <f>IF(M$3&lt;&gt;$A$1,"",'Bau-Geometrie'!D35)</f>
        <v/>
      </c>
      <c r="N21" s="1142"/>
      <c r="O21" s="1142"/>
      <c r="P21" s="1141" t="str">
        <f>IF(P$3&lt;&gt;$A$1,"",'Bau-Geometrie'!E35)</f>
        <v/>
      </c>
      <c r="Q21" s="1142"/>
      <c r="R21" s="1142"/>
      <c r="S21" s="1141" t="str">
        <f>IF(S$3&lt;&gt;$A$1,"",'Bau-Geometrie'!F35)</f>
        <v/>
      </c>
      <c r="T21" s="1142"/>
      <c r="U21" s="1142"/>
      <c r="V21" s="1141" t="str">
        <f>IF(V$3&lt;&gt;$A$1,"",'Bau-Geometrie'!G35)</f>
        <v/>
      </c>
      <c r="W21" s="1142"/>
      <c r="X21" s="1142"/>
      <c r="Y21" s="1141" t="str">
        <f>IF(Y$3&lt;&gt;$A$1,"",'Bau-Geometrie'!H35)</f>
        <v/>
      </c>
      <c r="Z21" s="1142"/>
      <c r="AA21" s="1143"/>
      <c r="AB21" s="78"/>
    </row>
    <row r="22" spans="6:28" s="56" customFormat="1" ht="14.25" customHeight="1">
      <c r="F22" s="187" t="s">
        <v>460</v>
      </c>
      <c r="G22" s="902"/>
      <c r="H22" s="136" t="s">
        <v>461</v>
      </c>
      <c r="I22" s="192"/>
      <c r="J22" s="1161" t="str">
        <f>IF(J$3&lt;&gt;$A$1,"",'Bau-Geometrie'!C36)</f>
        <v/>
      </c>
      <c r="K22" s="1162"/>
      <c r="L22" s="1162"/>
      <c r="M22" s="1161" t="str">
        <f>IF(M$3&lt;&gt;$A$1,"",'Bau-Geometrie'!D36)</f>
        <v/>
      </c>
      <c r="N22" s="1162"/>
      <c r="O22" s="1162"/>
      <c r="P22" s="1161" t="str">
        <f>IF(P$3&lt;&gt;$A$1,"",'Bau-Geometrie'!E36)</f>
        <v/>
      </c>
      <c r="Q22" s="1162"/>
      <c r="R22" s="1162"/>
      <c r="S22" s="1161" t="str">
        <f>IF(S$3&lt;&gt;$A$1,"",'Bau-Geometrie'!F36)</f>
        <v/>
      </c>
      <c r="T22" s="1162"/>
      <c r="U22" s="1162"/>
      <c r="V22" s="1161" t="str">
        <f>IF(V$3&lt;&gt;$A$1,"",'Bau-Geometrie'!G36)</f>
        <v/>
      </c>
      <c r="W22" s="1162"/>
      <c r="X22" s="1162"/>
      <c r="Y22" s="1161" t="str">
        <f>IF(Y$3&lt;&gt;$A$1,"",'Bau-Geometrie'!H36)</f>
        <v/>
      </c>
      <c r="Z22" s="1162"/>
      <c r="AA22" s="1163"/>
      <c r="AB22" s="78"/>
    </row>
    <row r="23" spans="6:28" s="147" customFormat="1" ht="14.25" customHeight="1">
      <c r="F23" s="152" t="s">
        <v>82</v>
      </c>
      <c r="G23" s="153"/>
      <c r="H23" s="153" t="s">
        <v>25</v>
      </c>
      <c r="I23" s="154"/>
      <c r="J23" s="1088" t="str">
        <f>IF(J$3&lt;&gt;$A$1,"",'Bau-Geometrie'!C37)</f>
        <v/>
      </c>
      <c r="K23" s="1089"/>
      <c r="L23" s="1089"/>
      <c r="M23" s="1088" t="str">
        <f>IF(M$3&lt;&gt;$A$1,"",'Bau-Geometrie'!D37)</f>
        <v/>
      </c>
      <c r="N23" s="1089"/>
      <c r="O23" s="1089"/>
      <c r="P23" s="1088" t="str">
        <f>IF(P$3&lt;&gt;$A$1,"",'Bau-Geometrie'!E37)</f>
        <v/>
      </c>
      <c r="Q23" s="1089"/>
      <c r="R23" s="1089"/>
      <c r="S23" s="1088" t="str">
        <f>IF(S$3&lt;&gt;$A$1,"",'Bau-Geometrie'!F37)</f>
        <v/>
      </c>
      <c r="T23" s="1089"/>
      <c r="U23" s="1089"/>
      <c r="V23" s="1073" t="str">
        <f>IF(V$3&lt;&gt;$A$1,"",'Bau-Geometrie'!G37)</f>
        <v/>
      </c>
      <c r="W23" s="1074"/>
      <c r="X23" s="1074"/>
      <c r="Y23" s="1073" t="str">
        <f>IF(Y$3&lt;&gt;$A$1,"",'Bau-Geometrie'!H37)</f>
        <v/>
      </c>
      <c r="Z23" s="1074"/>
      <c r="AA23" s="1075"/>
      <c r="AB23" s="151"/>
    </row>
    <row r="24" spans="6:28" s="147" customFormat="1" ht="14.25" customHeight="1">
      <c r="F24" s="156" t="s">
        <v>462</v>
      </c>
      <c r="G24" s="157"/>
      <c r="H24" s="157" t="s">
        <v>62</v>
      </c>
      <c r="I24" s="158"/>
      <c r="J24" s="1079" t="str">
        <f>IF(J$3&lt;&gt;$A$1,"",'Bau-Geometrie'!C38)</f>
        <v/>
      </c>
      <c r="K24" s="1080"/>
      <c r="L24" s="1080"/>
      <c r="M24" s="1079" t="str">
        <f>IF(M$3&lt;&gt;$A$1,"",'Bau-Geometrie'!D38)</f>
        <v/>
      </c>
      <c r="N24" s="1080"/>
      <c r="O24" s="1080"/>
      <c r="P24" s="1079" t="str">
        <f>IF(P$3&lt;&gt;$A$1,"",'Bau-Geometrie'!E38)</f>
        <v/>
      </c>
      <c r="Q24" s="1080"/>
      <c r="R24" s="1080"/>
      <c r="S24" s="1079" t="str">
        <f>IF(S$3&lt;&gt;$A$1,"",'Bau-Geometrie'!F38)</f>
        <v/>
      </c>
      <c r="T24" s="1080"/>
      <c r="U24" s="1080"/>
      <c r="V24" s="1079" t="str">
        <f>IF(V$3&lt;&gt;$A$1,"",'Bau-Geometrie'!G38)</f>
        <v/>
      </c>
      <c r="W24" s="1080"/>
      <c r="X24" s="1080"/>
      <c r="Y24" s="1079" t="str">
        <f>IF(Y$3&lt;&gt;$A$1,"",'Bau-Geometrie'!H38)</f>
        <v/>
      </c>
      <c r="Z24" s="1080"/>
      <c r="AA24" s="1081"/>
      <c r="AB24" s="151"/>
    </row>
    <row r="25" spans="6:28" s="147" customFormat="1" ht="14.25" customHeight="1">
      <c r="F25" s="160" t="s">
        <v>459</v>
      </c>
      <c r="G25" s="157"/>
      <c r="H25" s="157" t="s">
        <v>62</v>
      </c>
      <c r="I25" s="158"/>
      <c r="J25" s="1079" t="str">
        <f>IF(J$3&lt;&gt;$A$1,"",'Bau-Geometrie'!C39)</f>
        <v/>
      </c>
      <c r="K25" s="1080"/>
      <c r="L25" s="1080"/>
      <c r="M25" s="1079" t="str">
        <f>IF(M$3&lt;&gt;$A$1,"",'Bau-Geometrie'!D39)</f>
        <v/>
      </c>
      <c r="N25" s="1080"/>
      <c r="O25" s="1080"/>
      <c r="P25" s="1079" t="str">
        <f>IF(P$3&lt;&gt;$A$1,"",'Bau-Geometrie'!E39)</f>
        <v/>
      </c>
      <c r="Q25" s="1080"/>
      <c r="R25" s="1080"/>
      <c r="S25" s="1079" t="str">
        <f>IF(S$3&lt;&gt;$A$1,"",'Bau-Geometrie'!F39)</f>
        <v/>
      </c>
      <c r="T25" s="1080"/>
      <c r="U25" s="1080"/>
      <c r="V25" s="1079" t="str">
        <f>IF(V$3&lt;&gt;$A$1,"",'Bau-Geometrie'!G39)</f>
        <v/>
      </c>
      <c r="W25" s="1080"/>
      <c r="X25" s="1080"/>
      <c r="Y25" s="1079" t="str">
        <f>IF(Y$3&lt;&gt;$A$1,"",'Bau-Geometrie'!H39)</f>
        <v/>
      </c>
      <c r="Z25" s="1080"/>
      <c r="AA25" s="1081"/>
      <c r="AB25" s="151"/>
    </row>
    <row r="26" spans="6:28" s="147" customFormat="1" ht="14.25" customHeight="1">
      <c r="F26" s="161" t="s">
        <v>460</v>
      </c>
      <c r="G26" s="162"/>
      <c r="H26" s="162" t="s">
        <v>504</v>
      </c>
      <c r="I26" s="163"/>
      <c r="J26" s="1085" t="str">
        <f>IF(J$3&lt;&gt;$A$1,"",'Bau-Geometrie'!C40)</f>
        <v/>
      </c>
      <c r="K26" s="1086"/>
      <c r="L26" s="1086"/>
      <c r="M26" s="1085" t="str">
        <f>IF(M$3&lt;&gt;$A$1,"",'Bau-Geometrie'!D40)</f>
        <v/>
      </c>
      <c r="N26" s="1086"/>
      <c r="O26" s="1086"/>
      <c r="P26" s="1085" t="str">
        <f>IF(P$3&lt;&gt;$A$1,"",'Bau-Geometrie'!E40)</f>
        <v/>
      </c>
      <c r="Q26" s="1086"/>
      <c r="R26" s="1086"/>
      <c r="S26" s="1085" t="str">
        <f>IF(S$3&lt;&gt;$A$1,"",'Bau-Geometrie'!F40)</f>
        <v/>
      </c>
      <c r="T26" s="1086"/>
      <c r="U26" s="1086"/>
      <c r="V26" s="1085" t="str">
        <f>IF(V$3&lt;&gt;$A$1,"",'Bau-Geometrie'!G40)</f>
        <v/>
      </c>
      <c r="W26" s="1086"/>
      <c r="X26" s="1086"/>
      <c r="Y26" s="1085" t="str">
        <f>IF(Y$3&lt;&gt;$A$1,"",'Bau-Geometrie'!H40)</f>
        <v/>
      </c>
      <c r="Z26" s="1086"/>
      <c r="AA26" s="1087"/>
      <c r="AB26" s="151"/>
    </row>
    <row r="27" spans="6:28" s="147" customFormat="1" ht="14.25" customHeight="1">
      <c r="F27" s="164" t="s">
        <v>463</v>
      </c>
      <c r="G27" s="895"/>
      <c r="H27" s="890" t="s">
        <v>505</v>
      </c>
      <c r="I27" s="165"/>
      <c r="J27" s="1093" t="str">
        <f>IF(J$3&lt;&gt;$A$1,"",'Bau-Geometrie'!C41)</f>
        <v/>
      </c>
      <c r="K27" s="1094"/>
      <c r="L27" s="1094"/>
      <c r="M27" s="1093" t="str">
        <f>IF(M$3&lt;&gt;$A$1,"",'Bau-Geometrie'!D41)</f>
        <v/>
      </c>
      <c r="N27" s="1094"/>
      <c r="O27" s="1094"/>
      <c r="P27" s="1093" t="str">
        <f>IF(P$3&lt;&gt;$A$1,"",'Bau-Geometrie'!E41)</f>
        <v/>
      </c>
      <c r="Q27" s="1094"/>
      <c r="R27" s="1094"/>
      <c r="S27" s="1093" t="str">
        <f>IF(S$3&lt;&gt;$A$1,"",'Bau-Geometrie'!F41)</f>
        <v/>
      </c>
      <c r="T27" s="1094"/>
      <c r="U27" s="1094"/>
      <c r="V27" s="1093" t="str">
        <f>IF(V$3&lt;&gt;$A$1,"",'Bau-Geometrie'!G41)</f>
        <v/>
      </c>
      <c r="W27" s="1094"/>
      <c r="X27" s="1094"/>
      <c r="Y27" s="1093" t="str">
        <f>IF(Y$3&lt;&gt;$A$1,"",'Bau-Geometrie'!H41)</f>
        <v/>
      </c>
      <c r="Z27" s="1094"/>
      <c r="AA27" s="1095"/>
      <c r="AB27" s="151"/>
    </row>
    <row r="28" spans="6:28" s="56" customFormat="1" ht="14.25" customHeight="1">
      <c r="F28" s="185" t="s">
        <v>85</v>
      </c>
      <c r="G28" s="900"/>
      <c r="H28" s="140" t="s">
        <v>25</v>
      </c>
      <c r="I28" s="191"/>
      <c r="J28" s="1156" t="str">
        <f>IF(J$3&lt;&gt;$A$1,"",'Bau-Geometrie'!C42)</f>
        <v/>
      </c>
      <c r="K28" s="1157"/>
      <c r="L28" s="1157"/>
      <c r="M28" s="1156" t="str">
        <f>IF(M$3&lt;&gt;$A$1,"",'Bau-Geometrie'!D42)</f>
        <v/>
      </c>
      <c r="N28" s="1157"/>
      <c r="O28" s="1157"/>
      <c r="P28" s="1156" t="str">
        <f>IF(P$3&lt;&gt;$A$1,"",'Bau-Geometrie'!E42)</f>
        <v/>
      </c>
      <c r="Q28" s="1157"/>
      <c r="R28" s="1157"/>
      <c r="S28" s="1156" t="str">
        <f>IF(S$3&lt;&gt;$A$1,"",'Bau-Geometrie'!F42)</f>
        <v/>
      </c>
      <c r="T28" s="1157"/>
      <c r="U28" s="1157"/>
      <c r="V28" s="1158" t="str">
        <f>IF(V$3&lt;&gt;$A$1,"",'Bau-Geometrie'!G42)</f>
        <v/>
      </c>
      <c r="W28" s="1159"/>
      <c r="X28" s="1159"/>
      <c r="Y28" s="1158" t="str">
        <f>IF(Y$3&lt;&gt;$A$1,"",'Bau-Geometrie'!H42)</f>
        <v/>
      </c>
      <c r="Z28" s="1159"/>
      <c r="AA28" s="1160"/>
      <c r="AB28" s="78"/>
    </row>
    <row r="29" spans="6:28" s="56" customFormat="1" ht="14.25" customHeight="1">
      <c r="F29" s="189" t="s">
        <v>462</v>
      </c>
      <c r="G29" s="901"/>
      <c r="H29" s="131" t="s">
        <v>62</v>
      </c>
      <c r="I29" s="181"/>
      <c r="J29" s="1141" t="str">
        <f>IF(J$3&lt;&gt;$A$1,"",'Bau-Geometrie'!C43)</f>
        <v/>
      </c>
      <c r="K29" s="1142"/>
      <c r="L29" s="1142"/>
      <c r="M29" s="1141" t="str">
        <f>IF(M$3&lt;&gt;$A$1,"",'Bau-Geometrie'!D43)</f>
        <v/>
      </c>
      <c r="N29" s="1142"/>
      <c r="O29" s="1142"/>
      <c r="P29" s="1141" t="str">
        <f>IF(P$3&lt;&gt;$A$1,"",'Bau-Geometrie'!E43)</f>
        <v/>
      </c>
      <c r="Q29" s="1142"/>
      <c r="R29" s="1142"/>
      <c r="S29" s="1141" t="str">
        <f>IF(S$3&lt;&gt;$A$1,"",'Bau-Geometrie'!F43)</f>
        <v/>
      </c>
      <c r="T29" s="1142"/>
      <c r="U29" s="1142"/>
      <c r="V29" s="1141" t="str">
        <f>IF(V$3&lt;&gt;$A$1,"",'Bau-Geometrie'!G43)</f>
        <v/>
      </c>
      <c r="W29" s="1142"/>
      <c r="X29" s="1142"/>
      <c r="Y29" s="1141" t="str">
        <f>IF(Y$3&lt;&gt;$A$1,"",'Bau-Geometrie'!H43)</f>
        <v/>
      </c>
      <c r="Z29" s="1142"/>
      <c r="AA29" s="1143"/>
      <c r="AB29" s="78"/>
    </row>
    <row r="30" spans="6:28" s="56" customFormat="1" ht="14.25" customHeight="1">
      <c r="F30" s="180" t="s">
        <v>459</v>
      </c>
      <c r="G30" s="901"/>
      <c r="H30" s="131" t="s">
        <v>62</v>
      </c>
      <c r="I30" s="181"/>
      <c r="J30" s="1141" t="str">
        <f>IF(J$3&lt;&gt;$A$1,"",'Bau-Geometrie'!C44)</f>
        <v/>
      </c>
      <c r="K30" s="1142"/>
      <c r="L30" s="1142"/>
      <c r="M30" s="1141" t="str">
        <f>IF(M$3&lt;&gt;$A$1,"",'Bau-Geometrie'!D44)</f>
        <v/>
      </c>
      <c r="N30" s="1142"/>
      <c r="O30" s="1142"/>
      <c r="P30" s="1141" t="str">
        <f>IF(P$3&lt;&gt;$A$1,"",'Bau-Geometrie'!E44)</f>
        <v/>
      </c>
      <c r="Q30" s="1142"/>
      <c r="R30" s="1142"/>
      <c r="S30" s="1141" t="str">
        <f>IF(S$3&lt;&gt;$A$1,"",'Bau-Geometrie'!F44)</f>
        <v/>
      </c>
      <c r="T30" s="1142"/>
      <c r="U30" s="1142"/>
      <c r="V30" s="1141" t="str">
        <f>IF(V$3&lt;&gt;$A$1,"",'Bau-Geometrie'!G44)</f>
        <v/>
      </c>
      <c r="W30" s="1142"/>
      <c r="X30" s="1142"/>
      <c r="Y30" s="1141" t="str">
        <f>IF(Y$3&lt;&gt;$A$1,"",'Bau-Geometrie'!H44)</f>
        <v/>
      </c>
      <c r="Z30" s="1142"/>
      <c r="AA30" s="1143"/>
      <c r="AB30" s="78"/>
    </row>
    <row r="31" spans="6:28" s="56" customFormat="1" ht="14.25" customHeight="1">
      <c r="F31" s="187" t="s">
        <v>460</v>
      </c>
      <c r="G31" s="902"/>
      <c r="H31" s="136" t="s">
        <v>461</v>
      </c>
      <c r="I31" s="195"/>
      <c r="J31" s="1161" t="str">
        <f>IF(J$3&lt;&gt;$A$1,"",'Bau-Geometrie'!C45)</f>
        <v/>
      </c>
      <c r="K31" s="1162"/>
      <c r="L31" s="1162"/>
      <c r="M31" s="1161" t="str">
        <f>IF(M$3&lt;&gt;$A$1,"",'Bau-Geometrie'!D45)</f>
        <v/>
      </c>
      <c r="N31" s="1162"/>
      <c r="O31" s="1162"/>
      <c r="P31" s="1161" t="str">
        <f>IF(P$3&lt;&gt;$A$1,"",'Bau-Geometrie'!E45)</f>
        <v/>
      </c>
      <c r="Q31" s="1162"/>
      <c r="R31" s="1162"/>
      <c r="S31" s="1161" t="str">
        <f>IF(S$3&lt;&gt;$A$1,"",'Bau-Geometrie'!F45)</f>
        <v/>
      </c>
      <c r="T31" s="1162"/>
      <c r="U31" s="1162"/>
      <c r="V31" s="1161" t="str">
        <f>IF(V$3&lt;&gt;$A$1,"",'Bau-Geometrie'!G45)</f>
        <v/>
      </c>
      <c r="W31" s="1162"/>
      <c r="X31" s="1162"/>
      <c r="Y31" s="1161" t="str">
        <f>IF(Y$3&lt;&gt;$A$1,"",'Bau-Geometrie'!H45)</f>
        <v/>
      </c>
      <c r="Z31" s="1162"/>
      <c r="AA31" s="1163"/>
      <c r="AB31" s="78"/>
    </row>
    <row r="32" spans="6:28" s="56" customFormat="1" ht="14.25" customHeight="1">
      <c r="F32" s="196" t="s">
        <v>88</v>
      </c>
      <c r="G32" s="197"/>
      <c r="H32" s="141" t="s">
        <v>5</v>
      </c>
      <c r="I32" s="198"/>
      <c r="J32" s="1164" t="str">
        <f>IF(J$3&lt;&gt;$A$1,"",'Bau-Geometrie'!C46)</f>
        <v/>
      </c>
      <c r="K32" s="1165"/>
      <c r="L32" s="1165"/>
      <c r="M32" s="1164" t="str">
        <f>IF(M$3&lt;&gt;$A$1,"",'Bau-Geometrie'!D46)</f>
        <v/>
      </c>
      <c r="N32" s="1165"/>
      <c r="O32" s="1165"/>
      <c r="P32" s="1164" t="str">
        <f>IF(P$3&lt;&gt;$A$1,"",'Bau-Geometrie'!E46)</f>
        <v/>
      </c>
      <c r="Q32" s="1165"/>
      <c r="R32" s="1165"/>
      <c r="S32" s="1164" t="str">
        <f>IF(S$3&lt;&gt;$A$1,"",'Bau-Geometrie'!F46)</f>
        <v/>
      </c>
      <c r="T32" s="1165"/>
      <c r="U32" s="1165"/>
      <c r="V32" s="1164" t="str">
        <f>IF(V$3&lt;&gt;$A$1,"",'Bau-Geometrie'!G46)</f>
        <v/>
      </c>
      <c r="W32" s="1165"/>
      <c r="X32" s="1165"/>
      <c r="Y32" s="1164" t="str">
        <f>IF(Y$3&lt;&gt;$A$1,"",'Bau-Geometrie'!H46)</f>
        <v/>
      </c>
      <c r="Z32" s="1165"/>
      <c r="AA32" s="1166"/>
      <c r="AB32" s="78"/>
    </row>
    <row r="33" spans="1:28" ht="14.25" customHeight="1">
      <c r="F33" s="433" t="s">
        <v>506</v>
      </c>
      <c r="G33" s="444"/>
      <c r="H33" s="140" t="s">
        <v>461</v>
      </c>
      <c r="I33" s="436"/>
      <c r="J33" s="1082" t="str">
        <f>IF(J$3&lt;&gt;$A$1,"",'Bau-Geometrie'!C47)</f>
        <v/>
      </c>
      <c r="K33" s="1083"/>
      <c r="L33" s="1083"/>
      <c r="M33" s="1082" t="str">
        <f>IF(M$3&lt;&gt;$A$1,"",'Bau-Geometrie'!D47)</f>
        <v/>
      </c>
      <c r="N33" s="1083"/>
      <c r="O33" s="1083"/>
      <c r="P33" s="1082" t="str">
        <f>IF(P$3&lt;&gt;$A$1,"",'Bau-Geometrie'!E47)</f>
        <v/>
      </c>
      <c r="Q33" s="1083"/>
      <c r="R33" s="1083"/>
      <c r="S33" s="1082" t="str">
        <f>IF(S$3&lt;&gt;$A$1,"",'Bau-Geometrie'!F47)</f>
        <v/>
      </c>
      <c r="T33" s="1083"/>
      <c r="U33" s="1083"/>
      <c r="V33" s="1082" t="str">
        <f>IF(V$3&lt;&gt;$A$1,"",'Bau-Geometrie'!G47)</f>
        <v/>
      </c>
      <c r="W33" s="1083"/>
      <c r="X33" s="1083"/>
      <c r="Y33" s="1082" t="str">
        <f>IF(Y$3&lt;&gt;$A$1,"",'Bau-Geometrie'!H47)</f>
        <v/>
      </c>
      <c r="Z33" s="1083"/>
      <c r="AA33" s="1084"/>
      <c r="AB33" s="10"/>
    </row>
    <row r="34" spans="1:28" ht="14.25" customHeight="1">
      <c r="E34" s="55"/>
      <c r="F34" s="877" t="s">
        <v>507</v>
      </c>
      <c r="G34" s="135"/>
      <c r="H34" s="136" t="s">
        <v>461</v>
      </c>
      <c r="I34" s="439"/>
      <c r="J34" s="1090" t="str">
        <f>IF(J$3&lt;&gt;$A$1,"",'Bau-Geometrie'!C48)</f>
        <v/>
      </c>
      <c r="K34" s="1091"/>
      <c r="L34" s="1091"/>
      <c r="M34" s="1090" t="str">
        <f>IF(M$3&lt;&gt;$A$1,"",'Bau-Geometrie'!D48)</f>
        <v/>
      </c>
      <c r="N34" s="1091"/>
      <c r="O34" s="1091"/>
      <c r="P34" s="1090" t="str">
        <f>IF(P$3&lt;&gt;$A$1,"",'Bau-Geometrie'!E48)</f>
        <v/>
      </c>
      <c r="Q34" s="1091"/>
      <c r="R34" s="1091"/>
      <c r="S34" s="1090" t="str">
        <f>IF(S$3&lt;&gt;$A$1,"",'Bau-Geometrie'!F48)</f>
        <v/>
      </c>
      <c r="T34" s="1091"/>
      <c r="U34" s="1091"/>
      <c r="V34" s="1090" t="str">
        <f>IF(V$3&lt;&gt;$A$1,"",'Bau-Geometrie'!G48)</f>
        <v/>
      </c>
      <c r="W34" s="1091"/>
      <c r="X34" s="1091"/>
      <c r="Y34" s="1090" t="str">
        <f>IF(Y$3&lt;&gt;$A$1,"",'Bau-Geometrie'!H48)</f>
        <v/>
      </c>
      <c r="Z34" s="1091"/>
      <c r="AA34" s="1092"/>
      <c r="AB34" s="10"/>
    </row>
    <row r="35" spans="1:28" ht="14.25" customHeight="1">
      <c r="F35" s="175" t="s">
        <v>52</v>
      </c>
      <c r="G35" s="550"/>
      <c r="H35" s="898" t="s">
        <v>5</v>
      </c>
      <c r="I35" s="551"/>
      <c r="J35" s="1099" t="str">
        <f>IF(J$3&lt;&gt;$A$1,"",Tunneldaten!E13)</f>
        <v/>
      </c>
      <c r="K35" s="1100"/>
      <c r="L35" s="1101"/>
      <c r="M35" s="1099" t="str">
        <f>IF(M$3&lt;&gt;$A$1,"",Tunneldaten!F13)</f>
        <v/>
      </c>
      <c r="N35" s="1100"/>
      <c r="O35" s="1101"/>
      <c r="P35" s="1099" t="str">
        <f>IF(P$3&lt;&gt;$A$1,"",Tunneldaten!G13)</f>
        <v/>
      </c>
      <c r="Q35" s="1100"/>
      <c r="R35" s="1101"/>
      <c r="S35" s="1099" t="str">
        <f>IF(S$3&lt;&gt;$A$1,"",Tunneldaten!H13)</f>
        <v/>
      </c>
      <c r="T35" s="1100"/>
      <c r="U35" s="1101"/>
      <c r="V35" s="1099" t="str">
        <f>IF(V$3&lt;&gt;$A$1,"",Tunneldaten!I13)</f>
        <v/>
      </c>
      <c r="W35" s="1100"/>
      <c r="X35" s="1101"/>
      <c r="Y35" s="1099" t="str">
        <f>IF(Y$3&lt;&gt;$A$1,"",Tunneldaten!J13)</f>
        <v/>
      </c>
      <c r="Z35" s="1100"/>
      <c r="AA35" s="1101"/>
      <c r="AB35" s="10"/>
    </row>
    <row r="36" spans="1:28" ht="14.25" customHeight="1">
      <c r="F36" s="177" t="s">
        <v>508</v>
      </c>
      <c r="G36" s="549"/>
      <c r="H36" s="903" t="s">
        <v>54</v>
      </c>
      <c r="I36" s="426"/>
      <c r="J36" s="1043" t="str">
        <f>IF(J$3&lt;&gt;$A$1,"",IF(J$35=1,Tunneldaten!$E$57,IF(J$35=2,Tunneldaten!$F$57,IF(J$35=3,Tunneldaten!$G$57,Tunneldaten!$H$57))))</f>
        <v/>
      </c>
      <c r="K36" s="1044"/>
      <c r="L36" s="1045"/>
      <c r="M36" s="1043" t="str">
        <f>IF(M$3&lt;&gt;$A$1,"",IF(M$35=1,Tunneldaten!$E$57,IF(M$35=2,Tunneldaten!$F$57,IF(M$35=3,Tunneldaten!$G$57,Tunneldaten!$H$57))))</f>
        <v/>
      </c>
      <c r="N36" s="1044"/>
      <c r="O36" s="1045"/>
      <c r="P36" s="1043" t="str">
        <f>IF(P$3&lt;&gt;$A$1,"",IF(P$35=1,Tunneldaten!$E$57,IF(P$35=2,Tunneldaten!$F$57,IF(P$35=3,Tunneldaten!$G$57,Tunneldaten!$H$57))))</f>
        <v/>
      </c>
      <c r="Q36" s="1044"/>
      <c r="R36" s="1045"/>
      <c r="S36" s="1043" t="str">
        <f>IF(S$3&lt;&gt;$A$1,"",IF(S$35=1,Tunneldaten!$E$57,IF(S$35=2,Tunneldaten!$F$57,IF(S$35=3,Tunneldaten!$G$57,Tunneldaten!$H$57))))</f>
        <v/>
      </c>
      <c r="T36" s="1044"/>
      <c r="U36" s="1045"/>
      <c r="V36" s="1043" t="str">
        <f>IF(V$3&lt;&gt;$A$1,"",IF(V$35=1,Tunneldaten!$E$57,IF(V$35=2,Tunneldaten!$F$57,IF(V$35=3,Tunneldaten!$G$57,Tunneldaten!$H$57))))</f>
        <v/>
      </c>
      <c r="W36" s="1044"/>
      <c r="X36" s="1045"/>
      <c r="Y36" s="1043" t="str">
        <f>IF(Y$3&lt;&gt;$A$1,"",IF(Y$35=1,Tunneldaten!$E$57,IF(Y$35=2,Tunneldaten!$F$57,IF(Y$35=3,Tunneldaten!$G$57,Tunneldaten!$H$57))))</f>
        <v/>
      </c>
      <c r="Z36" s="1044"/>
      <c r="AA36" s="1045"/>
      <c r="AB36" s="10"/>
    </row>
    <row r="37" spans="1:28" ht="14.25" customHeight="1">
      <c r="F37" s="180" t="s">
        <v>509</v>
      </c>
      <c r="G37" s="546"/>
      <c r="H37" s="547" t="s">
        <v>54</v>
      </c>
      <c r="I37" s="429"/>
      <c r="J37" s="1043" t="str">
        <f>IF(J$3&lt;&gt;$A$1,"",IF(J$35=1,Tunneldaten!$E$58,IF(J$35=2,Tunneldaten!$F$58,IF(J$35=3,Tunneldaten!$G$58,Tunneldaten!$H$58))))</f>
        <v/>
      </c>
      <c r="K37" s="1044"/>
      <c r="L37" s="1045"/>
      <c r="M37" s="1043" t="str">
        <f>IF(M$3&lt;&gt;$A$1,"",IF(M$35=1,Tunneldaten!$E$58,IF(M$35=2,Tunneldaten!$F$58,IF(M$35=3,Tunneldaten!$G$58,Tunneldaten!$H$58))))</f>
        <v/>
      </c>
      <c r="N37" s="1044"/>
      <c r="O37" s="1045"/>
      <c r="P37" s="1043" t="str">
        <f>IF(P$3&lt;&gt;$A$1,"",IF(P$35=1,Tunneldaten!$E$58,IF(P$35=2,Tunneldaten!$F$58,IF(P$35=3,Tunneldaten!$G$58,Tunneldaten!$H$58))))</f>
        <v/>
      </c>
      <c r="Q37" s="1044"/>
      <c r="R37" s="1045"/>
      <c r="S37" s="1043" t="str">
        <f>IF(S$3&lt;&gt;$A$1,"",IF(S$35=1,Tunneldaten!$E$58,IF(S$35=2,Tunneldaten!$F$58,IF(S$35=3,Tunneldaten!$G$58,Tunneldaten!$H$58))))</f>
        <v/>
      </c>
      <c r="T37" s="1044"/>
      <c r="U37" s="1045"/>
      <c r="V37" s="1043" t="str">
        <f>IF(V$3&lt;&gt;$A$1,"",IF(V$35=1,Tunneldaten!$E$58,IF(V$35=2,Tunneldaten!$F$58,IF(V$35=3,Tunneldaten!$G$58,Tunneldaten!$H$58))))</f>
        <v/>
      </c>
      <c r="W37" s="1044"/>
      <c r="X37" s="1045"/>
      <c r="Y37" s="1043" t="str">
        <f>IF(Y$3&lt;&gt;$A$1,"",IF(Y$35=1,Tunneldaten!$E$58,IF(Y$35=2,Tunneldaten!$F$58,IF(Y$35=3,Tunneldaten!$G$58,Tunneldaten!$H$58))))</f>
        <v/>
      </c>
      <c r="Z37" s="1044"/>
      <c r="AA37" s="1045"/>
      <c r="AB37" s="10"/>
    </row>
    <row r="38" spans="1:28" ht="14.25" customHeight="1">
      <c r="F38" s="180" t="s">
        <v>510</v>
      </c>
      <c r="G38" s="546"/>
      <c r="H38" s="547" t="s">
        <v>54</v>
      </c>
      <c r="I38" s="429"/>
      <c r="J38" s="1043" t="str">
        <f>IF(J$3&lt;&gt;$A$1,"",IF(J$35=1,Tunneldaten!$E$59,IF(J$35=2,Tunneldaten!$F$59,IF(J$35=3,Tunneldaten!$G$59,Tunneldaten!$H$59))))</f>
        <v/>
      </c>
      <c r="K38" s="1044"/>
      <c r="L38" s="1045"/>
      <c r="M38" s="1043" t="str">
        <f>IF(M$3&lt;&gt;$A$1,"",IF(M$35=1,Tunneldaten!$E$59,IF(M$35=2,Tunneldaten!$F$59,IF(M$35=3,Tunneldaten!$G$59,Tunneldaten!$H$59))))</f>
        <v/>
      </c>
      <c r="N38" s="1044"/>
      <c r="O38" s="1045"/>
      <c r="P38" s="1043" t="str">
        <f>IF(P$3&lt;&gt;$A$1,"",IF(P$35=1,Tunneldaten!$E$59,IF(P$35=2,Tunneldaten!$F$59,IF(P$35=3,Tunneldaten!$G$59,Tunneldaten!$H$59))))</f>
        <v/>
      </c>
      <c r="Q38" s="1044"/>
      <c r="R38" s="1045"/>
      <c r="S38" s="1043" t="str">
        <f>IF(S$3&lt;&gt;$A$1,"",IF(S$35=1,Tunneldaten!$E$59,IF(S$35=2,Tunneldaten!$F$59,IF(S$35=3,Tunneldaten!$G$59,Tunneldaten!$H$59))))</f>
        <v/>
      </c>
      <c r="T38" s="1044"/>
      <c r="U38" s="1045"/>
      <c r="V38" s="1043" t="str">
        <f>IF(V$3&lt;&gt;$A$1,"",IF(V$35=1,Tunneldaten!$E$59,IF(V$35=2,Tunneldaten!$F$59,IF(V$35=3,Tunneldaten!$G$59,Tunneldaten!$H$59))))</f>
        <v/>
      </c>
      <c r="W38" s="1044"/>
      <c r="X38" s="1045"/>
      <c r="Y38" s="1043" t="str">
        <f>IF(Y$3&lt;&gt;$A$1,"",IF(Y$35=1,Tunneldaten!$E$59,IF(Y$35=2,Tunneldaten!$F$59,IF(Y$35=3,Tunneldaten!$G$59,Tunneldaten!$H$59))))</f>
        <v/>
      </c>
      <c r="Z38" s="1044"/>
      <c r="AA38" s="1045"/>
      <c r="AB38" s="10"/>
    </row>
    <row r="39" spans="1:28" ht="14.25" customHeight="1">
      <c r="F39" s="180" t="s">
        <v>511</v>
      </c>
      <c r="G39" s="546"/>
      <c r="H39" s="547" t="s">
        <v>54</v>
      </c>
      <c r="I39" s="429"/>
      <c r="J39" s="1043" t="str">
        <f>IF(J$3&lt;&gt;$A$1,"",IF(J$35=1,Tunneldaten!$E$61,IF(J$35=2,Tunneldaten!$F$61,IF(J$35=3,Tunneldaten!$G$61,Tunneldaten!$H$61))))</f>
        <v/>
      </c>
      <c r="K39" s="1044"/>
      <c r="L39" s="1045"/>
      <c r="M39" s="1043" t="str">
        <f>IF(M$3&lt;&gt;$A$1,"",IF(M$35=1,Tunneldaten!$E$61,IF(M$35=2,Tunneldaten!$F$61,IF(M$35=3,Tunneldaten!$G$61,Tunneldaten!$H$61))))</f>
        <v/>
      </c>
      <c r="N39" s="1044"/>
      <c r="O39" s="1045"/>
      <c r="P39" s="1043" t="str">
        <f>IF(P$3&lt;&gt;$A$1,"",IF(P$35=1,Tunneldaten!$E$61,IF(P$35=2,Tunneldaten!$F$61,IF(P$35=3,Tunneldaten!$G$61,Tunneldaten!$H$61))))</f>
        <v/>
      </c>
      <c r="Q39" s="1044"/>
      <c r="R39" s="1045"/>
      <c r="S39" s="1043" t="str">
        <f>IF(S$3&lt;&gt;$A$1,"",IF(S$35=1,Tunneldaten!$E$61,IF(S$35=2,Tunneldaten!$F$61,IF(S$35=3,Tunneldaten!$G$61,Tunneldaten!$H$61))))</f>
        <v/>
      </c>
      <c r="T39" s="1044"/>
      <c r="U39" s="1045"/>
      <c r="V39" s="1043" t="str">
        <f>IF(V$3&lt;&gt;$A$1,"",IF(V$35=1,Tunneldaten!$E$61,IF(V$35=2,Tunneldaten!$F$61,IF(V$35=3,Tunneldaten!$G$61,Tunneldaten!$H$61))))</f>
        <v/>
      </c>
      <c r="W39" s="1044"/>
      <c r="X39" s="1045"/>
      <c r="Y39" s="1043" t="str">
        <f>IF(Y$3&lt;&gt;$A$1,"",IF(Y$35=1,Tunneldaten!$E$61,IF(Y$35=2,Tunneldaten!$F$61,IF(Y$35=3,Tunneldaten!$G$61,Tunneldaten!$H$61))))</f>
        <v/>
      </c>
      <c r="Z39" s="1044"/>
      <c r="AA39" s="1045"/>
      <c r="AB39" s="10"/>
    </row>
    <row r="40" spans="1:28" ht="14.25" customHeight="1">
      <c r="A40" s="79"/>
      <c r="B40" s="79"/>
      <c r="C40" s="79"/>
      <c r="D40" s="79"/>
      <c r="E40" s="50"/>
      <c r="F40" s="180" t="s">
        <v>512</v>
      </c>
      <c r="G40" s="546"/>
      <c r="H40" s="547" t="s">
        <v>54</v>
      </c>
      <c r="I40" s="429"/>
      <c r="J40" s="1043" t="str">
        <f>IF(J$3&lt;&gt;$A$1,"",IF(J$35=1,Tunneldaten!$E$62,IF(J$35=2,Tunneldaten!$F$62,IF(J$35=3,Tunneldaten!$G$62,Tunneldaten!$H$62))))</f>
        <v/>
      </c>
      <c r="K40" s="1044"/>
      <c r="L40" s="1045"/>
      <c r="M40" s="1043" t="str">
        <f>IF(M$3&lt;&gt;$A$1,"",IF(M$35=1,Tunneldaten!$E$62,IF(M$35=2,Tunneldaten!$F$62,IF(M$35=3,Tunneldaten!$G$62,Tunneldaten!$H$62))))</f>
        <v/>
      </c>
      <c r="N40" s="1044"/>
      <c r="O40" s="1045"/>
      <c r="P40" s="1043" t="str">
        <f>IF(P$3&lt;&gt;$A$1,"",IF(P$35=1,Tunneldaten!$E$62,IF(P$35=2,Tunneldaten!$F$62,IF(P$35=3,Tunneldaten!$G$62,Tunneldaten!$H$62))))</f>
        <v/>
      </c>
      <c r="Q40" s="1044"/>
      <c r="R40" s="1045"/>
      <c r="S40" s="1043" t="str">
        <f>IF(S$3&lt;&gt;$A$1,"",IF(S$35=1,Tunneldaten!$E$62,IF(S$35=2,Tunneldaten!$F$62,IF(S$35=3,Tunneldaten!$G$62,Tunneldaten!$H$62))))</f>
        <v/>
      </c>
      <c r="T40" s="1044"/>
      <c r="U40" s="1045"/>
      <c r="V40" s="1043" t="str">
        <f>IF(V$3&lt;&gt;$A$1,"",IF(V$35=1,Tunneldaten!$E$62,IF(V$35=2,Tunneldaten!$F$62,IF(V$35=3,Tunneldaten!$G$62,Tunneldaten!$H$62))))</f>
        <v/>
      </c>
      <c r="W40" s="1044"/>
      <c r="X40" s="1045"/>
      <c r="Y40" s="1043" t="str">
        <f>IF(Y$3&lt;&gt;$A$1,"",IF(Y$35=1,Tunneldaten!$E$62,IF(Y$35=2,Tunneldaten!$F$62,IF(Y$35=3,Tunneldaten!$G$62,Tunneldaten!$H$62))))</f>
        <v/>
      </c>
      <c r="Z40" s="1044"/>
      <c r="AA40" s="1045"/>
      <c r="AB40" s="10"/>
    </row>
    <row r="41" spans="1:28" ht="14.25" customHeight="1">
      <c r="E41" s="50"/>
      <c r="F41" s="187" t="s">
        <v>513</v>
      </c>
      <c r="G41" s="135"/>
      <c r="H41" s="548" t="s">
        <v>54</v>
      </c>
      <c r="I41" s="439"/>
      <c r="J41" s="1033" t="str">
        <f>IF(J$3&lt;&gt;$A$1,"",IF(J$35=1,Tunneldaten!$E$63,IF(J$35=2,Tunneldaten!$F$63,IF(J$35=3,Tunneldaten!$G$63,Tunneldaten!$H$63))))</f>
        <v/>
      </c>
      <c r="K41" s="1034"/>
      <c r="L41" s="1035"/>
      <c r="M41" s="1033" t="str">
        <f>IF(M$3&lt;&gt;$A$1,"",IF(M$35=1,Tunneldaten!$E$63,IF(M$35=2,Tunneldaten!$F$63,IF(M$35=3,Tunneldaten!$G$63,Tunneldaten!$H$63))))</f>
        <v/>
      </c>
      <c r="N41" s="1034"/>
      <c r="O41" s="1035"/>
      <c r="P41" s="1033" t="str">
        <f>IF(P$3&lt;&gt;$A$1,"",IF(P$35=1,Tunneldaten!$E$63,IF(P$35=2,Tunneldaten!$F$63,IF(P$35=3,Tunneldaten!$G$63,Tunneldaten!$H$63))))</f>
        <v/>
      </c>
      <c r="Q41" s="1034"/>
      <c r="R41" s="1035"/>
      <c r="S41" s="1033" t="str">
        <f>IF(S$3&lt;&gt;$A$1,"",IF(S$35=1,Tunneldaten!$E$63,IF(S$35=2,Tunneldaten!$F$63,IF(S$35=3,Tunneldaten!$G$63,Tunneldaten!$H$63))))</f>
        <v/>
      </c>
      <c r="T41" s="1034"/>
      <c r="U41" s="1035"/>
      <c r="V41" s="1033" t="str">
        <f>IF(V$3&lt;&gt;$A$1,"",IF(V$35=1,Tunneldaten!$E$63,IF(V$35=2,Tunneldaten!$F$63,IF(V$35=3,Tunneldaten!$G$63,Tunneldaten!$H$63))))</f>
        <v/>
      </c>
      <c r="W41" s="1034"/>
      <c r="X41" s="1035"/>
      <c r="Y41" s="1033" t="str">
        <f>IF(Y$3&lt;&gt;$A$1,"",IF(Y$35=1,Tunneldaten!$E$63,IF(Y$35=2,Tunneldaten!$F$63,IF(Y$35=3,Tunneldaten!$G$63,Tunneldaten!$H$63))))</f>
        <v/>
      </c>
      <c r="Z41" s="1034"/>
      <c r="AA41" s="1035"/>
      <c r="AB41" s="10"/>
    </row>
    <row r="42" spans="1:28" ht="14.25" customHeight="1">
      <c r="E42" s="55"/>
      <c r="F42" s="50"/>
      <c r="G42" s="53"/>
      <c r="H42" s="6"/>
      <c r="J42" s="1133"/>
      <c r="K42" s="1134"/>
      <c r="L42" s="1134"/>
      <c r="M42" s="1133"/>
      <c r="N42" s="1134"/>
      <c r="O42" s="1134"/>
      <c r="P42" s="1133"/>
      <c r="Q42" s="1134"/>
      <c r="R42" s="1134"/>
      <c r="S42" s="1133"/>
      <c r="T42" s="1134"/>
      <c r="U42" s="1134"/>
      <c r="V42" s="1133"/>
      <c r="W42" s="1134"/>
      <c r="X42" s="1134"/>
      <c r="Y42" s="1133"/>
      <c r="Z42" s="1134"/>
      <c r="AA42" s="1134"/>
      <c r="AB42" s="10"/>
    </row>
    <row r="43" spans="1:28" ht="14.25" customHeight="1">
      <c r="F43" s="134" t="s">
        <v>514</v>
      </c>
      <c r="G43" s="89"/>
      <c r="H43" s="897"/>
      <c r="I43" s="375"/>
      <c r="J43" s="1105"/>
      <c r="K43" s="1106"/>
      <c r="L43" s="1107"/>
      <c r="M43" s="1105"/>
      <c r="N43" s="1106"/>
      <c r="O43" s="1107"/>
      <c r="P43" s="1105"/>
      <c r="Q43" s="1106"/>
      <c r="R43" s="1106"/>
      <c r="S43" s="1105"/>
      <c r="T43" s="1106"/>
      <c r="U43" s="1106"/>
      <c r="V43" s="1105"/>
      <c r="W43" s="1106"/>
      <c r="X43" s="1106"/>
      <c r="Y43" s="1105"/>
      <c r="Z43" s="1106"/>
      <c r="AA43" s="1107"/>
      <c r="AB43" s="10"/>
    </row>
    <row r="44" spans="1:28" ht="8.25" customHeight="1">
      <c r="G44" s="5"/>
      <c r="H44" s="6"/>
      <c r="J44" s="1108"/>
      <c r="K44" s="1109"/>
      <c r="L44" s="1110"/>
      <c r="M44" s="1111"/>
      <c r="N44" s="975"/>
      <c r="O44" s="1112"/>
      <c r="P44" s="1111"/>
      <c r="Q44" s="975"/>
      <c r="R44" s="975"/>
      <c r="S44" s="1111"/>
      <c r="T44" s="975"/>
      <c r="U44" s="975"/>
      <c r="V44" s="1111"/>
      <c r="W44" s="975"/>
      <c r="X44" s="975"/>
      <c r="Y44" s="1111"/>
      <c r="Z44" s="975"/>
      <c r="AA44" s="1112"/>
      <c r="AB44" s="10"/>
    </row>
    <row r="45" spans="1:28" ht="14.25" customHeight="1">
      <c r="F45" s="376" t="s">
        <v>163</v>
      </c>
      <c r="G45" s="137"/>
      <c r="H45" s="377" t="s">
        <v>369</v>
      </c>
      <c r="I45" s="378"/>
      <c r="J45" s="1102">
        <f>MROUND(IFERROR(SUMIF($A$64:$A$78,$F45,K$64:K$78),0),10)</f>
        <v>0</v>
      </c>
      <c r="K45" s="1103"/>
      <c r="L45" s="1104"/>
      <c r="M45" s="1102">
        <f t="shared" ref="M45:Y48" si="0">MROUND(IFERROR(SUMIF($A$64:$A$78,$F45,N$64:N$78),0),10)</f>
        <v>0</v>
      </c>
      <c r="N45" s="1103"/>
      <c r="O45" s="1104"/>
      <c r="P45" s="1102">
        <f t="shared" ref="P45" si="1">MROUND(IFERROR(SUMIF($A$64:$A$78,$F45,Q$64:Q$78),0),10)</f>
        <v>0</v>
      </c>
      <c r="Q45" s="1103"/>
      <c r="R45" s="1104"/>
      <c r="S45" s="1102">
        <f t="shared" ref="S45" si="2">MROUND(IFERROR(SUMIF($A$64:$A$78,$F45,T$64:T$78),0),10)</f>
        <v>0</v>
      </c>
      <c r="T45" s="1103"/>
      <c r="U45" s="1104"/>
      <c r="V45" s="1102">
        <f t="shared" ref="V45" si="3">MROUND(IFERROR(SUMIF($A$64:$A$78,$F45,W$64:W$78),0),10)</f>
        <v>0</v>
      </c>
      <c r="W45" s="1103"/>
      <c r="X45" s="1104"/>
      <c r="Y45" s="1102">
        <f t="shared" ref="Y45" si="4">MROUND(IFERROR(SUMIF($A$64:$A$78,$F45,Z$64:Z$78),0),10)</f>
        <v>0</v>
      </c>
      <c r="Z45" s="1103"/>
      <c r="AA45" s="1104"/>
      <c r="AB45" s="10"/>
    </row>
    <row r="46" spans="1:28" ht="14.25" customHeight="1">
      <c r="F46" s="419" t="s">
        <v>166</v>
      </c>
      <c r="G46" s="88"/>
      <c r="H46" s="380" t="s">
        <v>369</v>
      </c>
      <c r="I46" s="381"/>
      <c r="J46" s="1040">
        <f t="shared" ref="J46:J48" si="5">MROUND(IFERROR(SUMIF($A$64:$A$78,$F46,K$64:K$78),0),10)</f>
        <v>0</v>
      </c>
      <c r="K46" s="1041"/>
      <c r="L46" s="1042"/>
      <c r="M46" s="1040">
        <f t="shared" si="0"/>
        <v>0</v>
      </c>
      <c r="N46" s="1041"/>
      <c r="O46" s="1042"/>
      <c r="P46" s="1040">
        <f t="shared" si="0"/>
        <v>0</v>
      </c>
      <c r="Q46" s="1041"/>
      <c r="R46" s="1042"/>
      <c r="S46" s="1040">
        <f t="shared" si="0"/>
        <v>0</v>
      </c>
      <c r="T46" s="1041"/>
      <c r="U46" s="1042"/>
      <c r="V46" s="1040">
        <f t="shared" si="0"/>
        <v>0</v>
      </c>
      <c r="W46" s="1041"/>
      <c r="X46" s="1042"/>
      <c r="Y46" s="1040">
        <f t="shared" si="0"/>
        <v>0</v>
      </c>
      <c r="Z46" s="1041"/>
      <c r="AA46" s="1042"/>
      <c r="AB46" s="10"/>
    </row>
    <row r="47" spans="1:28" ht="14.25" customHeight="1">
      <c r="A47" s="79"/>
      <c r="B47" s="79"/>
      <c r="C47" s="79"/>
      <c r="D47" s="79"/>
      <c r="F47" s="419" t="s">
        <v>168</v>
      </c>
      <c r="G47" s="88"/>
      <c r="H47" s="380" t="s">
        <v>369</v>
      </c>
      <c r="I47" s="381"/>
      <c r="J47" s="1040">
        <f t="shared" si="5"/>
        <v>0</v>
      </c>
      <c r="K47" s="1041"/>
      <c r="L47" s="1042"/>
      <c r="M47" s="1040">
        <f t="shared" si="0"/>
        <v>0</v>
      </c>
      <c r="N47" s="1041"/>
      <c r="O47" s="1042"/>
      <c r="P47" s="1040">
        <f t="shared" si="0"/>
        <v>0</v>
      </c>
      <c r="Q47" s="1041"/>
      <c r="R47" s="1042"/>
      <c r="S47" s="1040">
        <f t="shared" si="0"/>
        <v>0</v>
      </c>
      <c r="T47" s="1041"/>
      <c r="U47" s="1042"/>
      <c r="V47" s="1040">
        <f t="shared" si="0"/>
        <v>0</v>
      </c>
      <c r="W47" s="1041"/>
      <c r="X47" s="1042"/>
      <c r="Y47" s="1040">
        <f t="shared" si="0"/>
        <v>0</v>
      </c>
      <c r="Z47" s="1041"/>
      <c r="AA47" s="1042"/>
      <c r="AB47" s="10"/>
    </row>
    <row r="48" spans="1:28" ht="14.25" customHeight="1">
      <c r="F48" s="554" t="s">
        <v>497</v>
      </c>
      <c r="G48" s="555"/>
      <c r="H48" s="556" t="s">
        <v>369</v>
      </c>
      <c r="I48" s="557"/>
      <c r="J48" s="1040">
        <f t="shared" si="5"/>
        <v>0</v>
      </c>
      <c r="K48" s="1041"/>
      <c r="L48" s="1042"/>
      <c r="M48" s="1040">
        <f t="shared" si="0"/>
        <v>0</v>
      </c>
      <c r="N48" s="1041"/>
      <c r="O48" s="1042"/>
      <c r="P48" s="1040">
        <f t="shared" si="0"/>
        <v>0</v>
      </c>
      <c r="Q48" s="1041"/>
      <c r="R48" s="1042"/>
      <c r="S48" s="1040">
        <f t="shared" si="0"/>
        <v>0</v>
      </c>
      <c r="T48" s="1041"/>
      <c r="U48" s="1042"/>
      <c r="V48" s="1040">
        <f t="shared" si="0"/>
        <v>0</v>
      </c>
      <c r="W48" s="1041"/>
      <c r="X48" s="1042"/>
      <c r="Y48" s="1040">
        <f t="shared" si="0"/>
        <v>0</v>
      </c>
      <c r="Z48" s="1041"/>
      <c r="AA48" s="1042"/>
      <c r="AB48" s="10"/>
    </row>
    <row r="49" spans="1:28" ht="14.25" customHeight="1">
      <c r="F49" s="382" t="s">
        <v>104</v>
      </c>
      <c r="G49" s="384"/>
      <c r="H49" s="383" t="s">
        <v>369</v>
      </c>
      <c r="I49" s="573"/>
      <c r="J49" s="1130">
        <f>ROUND(IFERROR(SUMIF($A$64:$A$78,$F49,K$64:K$78),0),-1)</f>
        <v>0</v>
      </c>
      <c r="K49" s="1131"/>
      <c r="L49" s="1132"/>
      <c r="M49" s="1130">
        <f t="shared" ref="M49" si="6">ROUND(IFERROR(SUMIF($A$64:$A$78,$F49,N$64:N$78),0),-1)</f>
        <v>0</v>
      </c>
      <c r="N49" s="1131"/>
      <c r="O49" s="1132"/>
      <c r="P49" s="1130">
        <f t="shared" ref="P49" si="7">ROUND(IFERROR(SUMIF($A$64:$A$78,$F49,Q$64:Q$78),0),-1)</f>
        <v>0</v>
      </c>
      <c r="Q49" s="1131"/>
      <c r="R49" s="1132"/>
      <c r="S49" s="1130">
        <f t="shared" ref="S49" si="8">ROUND(IFERROR(SUMIF($A$64:$A$78,$F49,T$64:T$78),0),-1)</f>
        <v>0</v>
      </c>
      <c r="T49" s="1131"/>
      <c r="U49" s="1132"/>
      <c r="V49" s="1130">
        <f t="shared" ref="V49" si="9">ROUND(IFERROR(SUMIF($A$64:$A$78,$F49,W$64:W$78),0),-1)</f>
        <v>0</v>
      </c>
      <c r="W49" s="1131"/>
      <c r="X49" s="1132"/>
      <c r="Y49" s="1130">
        <f t="shared" ref="Y49" si="10">ROUND(IFERROR(SUMIF($A$64:$A$78,$F49,Z$64:Z$78),0),-1)</f>
        <v>0</v>
      </c>
      <c r="Z49" s="1131"/>
      <c r="AA49" s="1132"/>
      <c r="AB49" s="10"/>
    </row>
    <row r="50" spans="1:28" ht="14.25" customHeight="1">
      <c r="F50" s="50"/>
      <c r="G50" s="5"/>
      <c r="H50" s="6"/>
      <c r="J50" s="1108"/>
      <c r="K50" s="1109"/>
      <c r="L50" s="1110"/>
      <c r="M50" s="1111"/>
      <c r="N50" s="975"/>
      <c r="O50" s="1112"/>
      <c r="P50" s="1111"/>
      <c r="Q50" s="975"/>
      <c r="R50" s="975"/>
      <c r="S50" s="1111"/>
      <c r="T50" s="975"/>
      <c r="U50" s="975"/>
      <c r="V50" s="1111"/>
      <c r="W50" s="975"/>
      <c r="X50" s="975"/>
      <c r="Y50" s="1111"/>
      <c r="Z50" s="975"/>
      <c r="AA50" s="1112"/>
      <c r="AB50" s="10"/>
    </row>
    <row r="51" spans="1:28" ht="14.25" customHeight="1">
      <c r="F51" s="133" t="s">
        <v>515</v>
      </c>
      <c r="G51" s="89"/>
      <c r="H51" s="897" t="s">
        <v>369</v>
      </c>
      <c r="I51" s="375"/>
      <c r="J51" s="1117"/>
      <c r="K51" s="1118"/>
      <c r="L51" s="1119"/>
      <c r="M51" s="1105"/>
      <c r="N51" s="1106"/>
      <c r="O51" s="1107"/>
      <c r="P51" s="1105"/>
      <c r="Q51" s="1106"/>
      <c r="R51" s="1106"/>
      <c r="S51" s="1105"/>
      <c r="T51" s="1106"/>
      <c r="U51" s="1106"/>
      <c r="V51" s="1105"/>
      <c r="W51" s="1106"/>
      <c r="X51" s="1106"/>
      <c r="Y51" s="1105"/>
      <c r="Z51" s="1106"/>
      <c r="AA51" s="1107"/>
      <c r="AB51" s="10"/>
    </row>
    <row r="52" spans="1:28" ht="8.25" customHeight="1">
      <c r="G52" s="5"/>
      <c r="H52" s="6"/>
      <c r="J52" s="1108"/>
      <c r="K52" s="1109"/>
      <c r="L52" s="1110"/>
      <c r="M52" s="1111"/>
      <c r="N52" s="975"/>
      <c r="O52" s="1112"/>
      <c r="P52" s="1111"/>
      <c r="Q52" s="975"/>
      <c r="R52" s="975"/>
      <c r="S52" s="1111"/>
      <c r="T52" s="975"/>
      <c r="U52" s="975"/>
      <c r="V52" s="1111"/>
      <c r="W52" s="975"/>
      <c r="X52" s="975"/>
      <c r="Y52" s="1111"/>
      <c r="Z52" s="975"/>
      <c r="AA52" s="1112"/>
      <c r="AB52" s="10"/>
    </row>
    <row r="53" spans="1:28" ht="14.25" customHeight="1">
      <c r="F53" s="376" t="s">
        <v>189</v>
      </c>
      <c r="G53" s="137"/>
      <c r="H53" s="377" t="s">
        <v>516</v>
      </c>
      <c r="I53" s="378"/>
      <c r="J53" s="1114">
        <f>IFERROR(SUMIF($F$64:$F$78,$F53,L$64:L$78),0)</f>
        <v>0</v>
      </c>
      <c r="K53" s="1115"/>
      <c r="L53" s="1116"/>
      <c r="M53" s="1114">
        <f t="shared" ref="M53:M54" si="11">IFERROR(SUMIF($F$64:$F$78,$F53,O$64:O$78),0)</f>
        <v>0</v>
      </c>
      <c r="N53" s="1115"/>
      <c r="O53" s="1116"/>
      <c r="P53" s="1114">
        <f t="shared" ref="P53:P54" si="12">IFERROR(SUMIF($F$64:$F$78,$F53,R$64:R$78),0)</f>
        <v>0</v>
      </c>
      <c r="Q53" s="1115"/>
      <c r="R53" s="1116"/>
      <c r="S53" s="1114">
        <f t="shared" ref="S53:S54" si="13">IFERROR(SUMIF($F$64:$F$78,$F53,U$64:U$78),0)</f>
        <v>0</v>
      </c>
      <c r="T53" s="1115"/>
      <c r="U53" s="1116"/>
      <c r="V53" s="1114">
        <f t="shared" ref="V53:V54" si="14">IFERROR(SUMIF($F$64:$F$78,$F53,X$64:X$78),0)</f>
        <v>0</v>
      </c>
      <c r="W53" s="1115"/>
      <c r="X53" s="1116"/>
      <c r="Y53" s="1114">
        <f t="shared" ref="Y53:Y54" si="15">IFERROR(SUMIF($F$64:$F$78,$F53,AA$64:AA$78),0)</f>
        <v>0</v>
      </c>
      <c r="Z53" s="1115"/>
      <c r="AA53" s="1116"/>
      <c r="AB53" s="10"/>
    </row>
    <row r="54" spans="1:28" ht="14.25" customHeight="1">
      <c r="F54" s="379" t="s">
        <v>191</v>
      </c>
      <c r="G54" s="88"/>
      <c r="H54" s="380" t="s">
        <v>516</v>
      </c>
      <c r="I54" s="381"/>
      <c r="J54" s="1120">
        <f t="shared" ref="J54:J59" si="16">IFERROR(SUMIF($F$64:$F$78,$F54,L$64:L$78),0)</f>
        <v>0</v>
      </c>
      <c r="K54" s="1121"/>
      <c r="L54" s="1122"/>
      <c r="M54" s="1120">
        <f t="shared" si="11"/>
        <v>0</v>
      </c>
      <c r="N54" s="1121"/>
      <c r="O54" s="1122"/>
      <c r="P54" s="1120">
        <f t="shared" si="12"/>
        <v>0</v>
      </c>
      <c r="Q54" s="1121"/>
      <c r="R54" s="1122"/>
      <c r="S54" s="1120">
        <f t="shared" si="13"/>
        <v>0</v>
      </c>
      <c r="T54" s="1121"/>
      <c r="U54" s="1122"/>
      <c r="V54" s="1120">
        <f t="shared" si="14"/>
        <v>0</v>
      </c>
      <c r="W54" s="1121"/>
      <c r="X54" s="1122"/>
      <c r="Y54" s="1120">
        <f t="shared" si="15"/>
        <v>0</v>
      </c>
      <c r="Z54" s="1121"/>
      <c r="AA54" s="1122"/>
      <c r="AB54" s="10"/>
    </row>
    <row r="55" spans="1:28" ht="14.25" customHeight="1">
      <c r="F55" s="379" t="s">
        <v>517</v>
      </c>
      <c r="G55" s="88"/>
      <c r="H55" s="380" t="s">
        <v>516</v>
      </c>
      <c r="I55" s="381"/>
      <c r="J55" s="1120">
        <f>J54-J56</f>
        <v>0</v>
      </c>
      <c r="K55" s="1121"/>
      <c r="L55" s="1122"/>
      <c r="M55" s="1120">
        <f t="shared" ref="M55" si="17">M54-M56</f>
        <v>0</v>
      </c>
      <c r="N55" s="1121"/>
      <c r="O55" s="1122"/>
      <c r="P55" s="1120">
        <f t="shared" ref="P55" si="18">P54-P56</f>
        <v>0</v>
      </c>
      <c r="Q55" s="1121"/>
      <c r="R55" s="1122"/>
      <c r="S55" s="1120">
        <f t="shared" ref="S55" si="19">S54-S56</f>
        <v>0</v>
      </c>
      <c r="T55" s="1121"/>
      <c r="U55" s="1122"/>
      <c r="V55" s="1120">
        <f t="shared" ref="V55" si="20">V54-V56</f>
        <v>0</v>
      </c>
      <c r="W55" s="1121"/>
      <c r="X55" s="1122"/>
      <c r="Y55" s="1120">
        <f t="shared" ref="Y55" si="21">Y54-Y56</f>
        <v>0</v>
      </c>
      <c r="Z55" s="1121"/>
      <c r="AA55" s="1122"/>
      <c r="AB55" s="10"/>
    </row>
    <row r="56" spans="1:28" ht="14.25" customHeight="1">
      <c r="F56" s="263" t="s">
        <v>518</v>
      </c>
      <c r="G56" s="264"/>
      <c r="H56" s="265" t="s">
        <v>519</v>
      </c>
      <c r="I56" s="266"/>
      <c r="J56" s="1123">
        <v>0</v>
      </c>
      <c r="K56" s="1124"/>
      <c r="L56" s="1125"/>
      <c r="M56" s="1123">
        <v>0</v>
      </c>
      <c r="N56" s="1124"/>
      <c r="O56" s="1125"/>
      <c r="P56" s="1123">
        <v>0</v>
      </c>
      <c r="Q56" s="1124"/>
      <c r="R56" s="1125"/>
      <c r="S56" s="1123">
        <v>0</v>
      </c>
      <c r="T56" s="1124"/>
      <c r="U56" s="1125"/>
      <c r="V56" s="1123">
        <v>0</v>
      </c>
      <c r="W56" s="1124"/>
      <c r="X56" s="1125"/>
      <c r="Y56" s="1123">
        <v>0</v>
      </c>
      <c r="Z56" s="1124"/>
      <c r="AA56" s="1125"/>
      <c r="AB56" s="10"/>
    </row>
    <row r="57" spans="1:28" ht="14.25" customHeight="1">
      <c r="F57" s="379" t="s">
        <v>98</v>
      </c>
      <c r="G57" s="88"/>
      <c r="H57" s="380" t="s">
        <v>190</v>
      </c>
      <c r="I57" s="381"/>
      <c r="J57" s="1120">
        <f t="shared" si="16"/>
        <v>0</v>
      </c>
      <c r="K57" s="1121"/>
      <c r="L57" s="1122"/>
      <c r="M57" s="1120">
        <f t="shared" ref="M57:M59" si="22">IFERROR(SUMIF($F$64:$F$78,$F57,O$64:O$78),0)</f>
        <v>0</v>
      </c>
      <c r="N57" s="1121"/>
      <c r="O57" s="1122"/>
      <c r="P57" s="1120">
        <f t="shared" ref="P57:P59" si="23">IFERROR(SUMIF($F$64:$F$78,$F57,R$64:R$78),0)</f>
        <v>0</v>
      </c>
      <c r="Q57" s="1121"/>
      <c r="R57" s="1122"/>
      <c r="S57" s="1120">
        <f t="shared" ref="S57:S59" si="24">IFERROR(SUMIF($F$64:$F$78,$F57,U$64:U$78),0)</f>
        <v>0</v>
      </c>
      <c r="T57" s="1121"/>
      <c r="U57" s="1122"/>
      <c r="V57" s="1120">
        <f t="shared" ref="V57:V59" si="25">IFERROR(SUMIF($F$64:$F$78,$F57,X$64:X$78),0)</f>
        <v>0</v>
      </c>
      <c r="W57" s="1121"/>
      <c r="X57" s="1122"/>
      <c r="Y57" s="1120">
        <f t="shared" ref="Y57:Y59" si="26">IFERROR(SUMIF($F$64:$F$78,$F57,AA$64:AA$78),0)</f>
        <v>0</v>
      </c>
      <c r="Z57" s="1121"/>
      <c r="AA57" s="1122"/>
      <c r="AB57" s="10"/>
    </row>
    <row r="58" spans="1:28" ht="14.25" customHeight="1">
      <c r="F58" s="379" t="s">
        <v>192</v>
      </c>
      <c r="G58" s="88"/>
      <c r="H58" s="380" t="s">
        <v>40</v>
      </c>
      <c r="I58" s="381"/>
      <c r="J58" s="1120">
        <f t="shared" si="16"/>
        <v>0</v>
      </c>
      <c r="K58" s="1121"/>
      <c r="L58" s="1122"/>
      <c r="M58" s="1120">
        <f t="shared" si="22"/>
        <v>0</v>
      </c>
      <c r="N58" s="1121"/>
      <c r="O58" s="1122"/>
      <c r="P58" s="1120">
        <f t="shared" si="23"/>
        <v>0</v>
      </c>
      <c r="Q58" s="1121"/>
      <c r="R58" s="1122"/>
      <c r="S58" s="1120">
        <f t="shared" si="24"/>
        <v>0</v>
      </c>
      <c r="T58" s="1121"/>
      <c r="U58" s="1122"/>
      <c r="V58" s="1120">
        <f t="shared" si="25"/>
        <v>0</v>
      </c>
      <c r="W58" s="1121"/>
      <c r="X58" s="1122"/>
      <c r="Y58" s="1120">
        <f t="shared" si="26"/>
        <v>0</v>
      </c>
      <c r="Z58" s="1121"/>
      <c r="AA58" s="1122"/>
      <c r="AB58" s="10"/>
    </row>
    <row r="59" spans="1:28" ht="14.25" customHeight="1">
      <c r="F59" s="382" t="s">
        <v>100</v>
      </c>
      <c r="G59" s="138"/>
      <c r="H59" s="383" t="s">
        <v>516</v>
      </c>
      <c r="I59" s="384"/>
      <c r="J59" s="1127">
        <f t="shared" si="16"/>
        <v>0</v>
      </c>
      <c r="K59" s="1128"/>
      <c r="L59" s="1129"/>
      <c r="M59" s="1127">
        <f t="shared" si="22"/>
        <v>0</v>
      </c>
      <c r="N59" s="1128"/>
      <c r="O59" s="1129"/>
      <c r="P59" s="1127">
        <f t="shared" si="23"/>
        <v>0</v>
      </c>
      <c r="Q59" s="1128"/>
      <c r="R59" s="1129"/>
      <c r="S59" s="1127">
        <f t="shared" si="24"/>
        <v>0</v>
      </c>
      <c r="T59" s="1128"/>
      <c r="U59" s="1129"/>
      <c r="V59" s="1127">
        <f t="shared" si="25"/>
        <v>0</v>
      </c>
      <c r="W59" s="1128"/>
      <c r="X59" s="1129"/>
      <c r="Y59" s="1127">
        <f t="shared" si="26"/>
        <v>0</v>
      </c>
      <c r="Z59" s="1128"/>
      <c r="AA59" s="1129"/>
      <c r="AB59" s="10"/>
    </row>
    <row r="60" spans="1:28" ht="14.25" customHeight="1">
      <c r="E60" s="50"/>
      <c r="F60" s="50"/>
      <c r="G60" s="53"/>
      <c r="J60" s="10"/>
      <c r="K60" s="50"/>
      <c r="L60" s="51"/>
      <c r="M60" s="86"/>
      <c r="N60" s="51"/>
      <c r="O60" s="50"/>
      <c r="P60" s="87"/>
      <c r="Q60" s="50"/>
      <c r="R60" s="51"/>
      <c r="S60" s="86"/>
      <c r="T60" s="51"/>
      <c r="U60" s="50"/>
      <c r="V60" s="87"/>
      <c r="Y60" s="10"/>
      <c r="AB60" s="10"/>
    </row>
    <row r="61" spans="1:28" ht="14.25" customHeight="1">
      <c r="C61" s="385"/>
      <c r="D61" s="385"/>
      <c r="E61" s="385"/>
      <c r="F61" s="385"/>
      <c r="G61" s="386"/>
      <c r="H61" s="385"/>
      <c r="I61" s="385"/>
      <c r="J61" s="387"/>
      <c r="K61" s="385"/>
      <c r="M61" s="10"/>
      <c r="P61" s="10"/>
      <c r="S61" s="10"/>
      <c r="V61" s="10"/>
      <c r="Y61" s="10"/>
      <c r="AB61" s="10"/>
    </row>
    <row r="62" spans="1:28" s="56" customFormat="1" ht="14.25" customHeight="1">
      <c r="B62" s="98" t="s">
        <v>125</v>
      </c>
      <c r="C62" s="99" t="s">
        <v>444</v>
      </c>
      <c r="D62" s="99" t="s">
        <v>520</v>
      </c>
      <c r="E62" s="98" t="s">
        <v>521</v>
      </c>
      <c r="F62" s="1126" t="s">
        <v>522</v>
      </c>
      <c r="G62" s="1126"/>
      <c r="H62" s="98" t="s">
        <v>523</v>
      </c>
      <c r="I62" s="98"/>
      <c r="J62" s="100" t="s">
        <v>524</v>
      </c>
      <c r="K62" s="99" t="s">
        <v>525</v>
      </c>
      <c r="L62" s="99" t="s">
        <v>522</v>
      </c>
      <c r="M62" s="100" t="s">
        <v>524</v>
      </c>
      <c r="N62" s="99" t="s">
        <v>525</v>
      </c>
      <c r="O62" s="99" t="s">
        <v>522</v>
      </c>
      <c r="P62" s="100" t="s">
        <v>524</v>
      </c>
      <c r="Q62" s="99" t="s">
        <v>525</v>
      </c>
      <c r="R62" s="99" t="s">
        <v>522</v>
      </c>
      <c r="S62" s="100" t="s">
        <v>524</v>
      </c>
      <c r="T62" s="99" t="s">
        <v>525</v>
      </c>
      <c r="U62" s="99" t="s">
        <v>522</v>
      </c>
      <c r="V62" s="100" t="s">
        <v>524</v>
      </c>
      <c r="W62" s="99" t="s">
        <v>525</v>
      </c>
      <c r="X62" s="99" t="s">
        <v>522</v>
      </c>
      <c r="Y62" s="100" t="s">
        <v>524</v>
      </c>
      <c r="Z62" s="99" t="s">
        <v>525</v>
      </c>
      <c r="AA62" s="99" t="s">
        <v>522</v>
      </c>
      <c r="AB62" s="78"/>
    </row>
    <row r="63" spans="1:28" s="56" customFormat="1" ht="8.25" customHeight="1">
      <c r="C63" s="61"/>
      <c r="D63" s="61"/>
      <c r="E63" s="58"/>
      <c r="F63" s="59"/>
      <c r="G63" s="61"/>
      <c r="H63" s="62"/>
      <c r="I63" s="62"/>
      <c r="J63" s="78"/>
      <c r="M63" s="63"/>
      <c r="N63" s="58"/>
      <c r="O63" s="59"/>
      <c r="P63" s="63"/>
      <c r="Q63" s="58"/>
      <c r="S63" s="63"/>
      <c r="T63" s="58"/>
      <c r="V63" s="63"/>
      <c r="W63" s="58"/>
      <c r="X63" s="59"/>
      <c r="Y63" s="63"/>
      <c r="Z63" s="58"/>
      <c r="AB63" s="78"/>
    </row>
    <row r="64" spans="1:28" s="56" customFormat="1" ht="14.25" customHeight="1">
      <c r="A64" s="413" t="s">
        <v>163</v>
      </c>
      <c r="B64" s="448"/>
      <c r="C64" s="446" t="s">
        <v>5</v>
      </c>
      <c r="D64" s="446" t="s">
        <v>516</v>
      </c>
      <c r="E64" s="451">
        <v>100</v>
      </c>
      <c r="F64" s="145" t="s">
        <v>189</v>
      </c>
      <c r="G64" s="124" t="s">
        <v>526</v>
      </c>
      <c r="H64" s="447">
        <v>1</v>
      </c>
      <c r="I64" s="448"/>
      <c r="J64" s="449">
        <f>IFERROR(J5*J8,0)</f>
        <v>0</v>
      </c>
      <c r="K64" s="127">
        <f>ROUND($E64*J64,)</f>
        <v>0</v>
      </c>
      <c r="L64" s="125">
        <f>$H64*J64</f>
        <v>0</v>
      </c>
      <c r="M64" s="449">
        <f>IFERROR(M5*M8,0)</f>
        <v>0</v>
      </c>
      <c r="N64" s="127">
        <f t="shared" ref="N64:Z78" si="27">ROUND($E64*M64,)</f>
        <v>0</v>
      </c>
      <c r="O64" s="125">
        <f t="shared" ref="O64:O72" si="28">$H64*M64</f>
        <v>0</v>
      </c>
      <c r="P64" s="449">
        <f>IFERROR(P5*P8,0)</f>
        <v>0</v>
      </c>
      <c r="Q64" s="127">
        <f t="shared" ref="Q64" si="29">ROUND($E64*P64,)</f>
        <v>0</v>
      </c>
      <c r="R64" s="125">
        <f t="shared" ref="R64:R72" si="30">$H64*P64</f>
        <v>0</v>
      </c>
      <c r="S64" s="449">
        <f>IFERROR(S5*S8,0)</f>
        <v>0</v>
      </c>
      <c r="T64" s="127">
        <f t="shared" ref="T64" si="31">ROUND($E64*S64,)</f>
        <v>0</v>
      </c>
      <c r="U64" s="125">
        <f t="shared" ref="U64:U72" si="32">$H64*S64</f>
        <v>0</v>
      </c>
      <c r="V64" s="449">
        <f>IFERROR(V5*V8,0)</f>
        <v>0</v>
      </c>
      <c r="W64" s="127">
        <f t="shared" ref="W64" si="33">ROUND($E64*V64,)</f>
        <v>0</v>
      </c>
      <c r="X64" s="125">
        <f t="shared" ref="X64:X72" si="34">$H64*V64</f>
        <v>0</v>
      </c>
      <c r="Y64" s="449">
        <f>IFERROR(Y5*Y8,0)</f>
        <v>0</v>
      </c>
      <c r="Z64" s="127">
        <f t="shared" ref="Z64" si="35">ROUND($E64*Y64,)</f>
        <v>0</v>
      </c>
      <c r="AA64" s="125">
        <f t="shared" ref="AA64:AA72" si="36">$H64*Y64</f>
        <v>0</v>
      </c>
      <c r="AB64" s="78"/>
    </row>
    <row r="65" spans="1:28" s="56" customFormat="1" ht="14.25" customHeight="1">
      <c r="A65" s="453" t="s">
        <v>166</v>
      </c>
      <c r="B65" s="405" t="s">
        <v>531</v>
      </c>
      <c r="C65" s="403" t="s">
        <v>5</v>
      </c>
      <c r="D65" s="403" t="s">
        <v>516</v>
      </c>
      <c r="E65" s="454">
        <v>350</v>
      </c>
      <c r="F65" s="144" t="s">
        <v>191</v>
      </c>
      <c r="G65" s="103" t="s">
        <v>526</v>
      </c>
      <c r="H65" s="411">
        <v>1</v>
      </c>
      <c r="I65" s="405"/>
      <c r="J65" s="406">
        <f>IFERROR(J5*(J8-J22),0)</f>
        <v>0</v>
      </c>
      <c r="K65" s="104">
        <f t="shared" ref="K65:K72" si="37">ROUND($E65*J65,)</f>
        <v>0</v>
      </c>
      <c r="L65" s="170">
        <f t="shared" ref="L65:L72" si="38">$H65*J65</f>
        <v>0</v>
      </c>
      <c r="M65" s="406">
        <f>IFERROR(M5*(M8-M22),0)</f>
        <v>0</v>
      </c>
      <c r="N65" s="104">
        <f t="shared" si="27"/>
        <v>0</v>
      </c>
      <c r="O65" s="170">
        <f t="shared" si="28"/>
        <v>0</v>
      </c>
      <c r="P65" s="406">
        <f>IFERROR(P5*(P8-P22),0)</f>
        <v>0</v>
      </c>
      <c r="Q65" s="104">
        <f t="shared" si="27"/>
        <v>0</v>
      </c>
      <c r="R65" s="170">
        <f t="shared" si="30"/>
        <v>0</v>
      </c>
      <c r="S65" s="406">
        <f>IFERROR(S5*(S8-S22),0)</f>
        <v>0</v>
      </c>
      <c r="T65" s="104">
        <f t="shared" si="27"/>
        <v>0</v>
      </c>
      <c r="U65" s="170">
        <f t="shared" si="32"/>
        <v>0</v>
      </c>
      <c r="V65" s="406">
        <f>IFERROR(V5*(V8-V22),0)</f>
        <v>0</v>
      </c>
      <c r="W65" s="104">
        <f t="shared" si="27"/>
        <v>0</v>
      </c>
      <c r="X65" s="170">
        <f t="shared" si="34"/>
        <v>0</v>
      </c>
      <c r="Y65" s="406">
        <f>IFERROR(Y5*(Y8-Y22),0)</f>
        <v>0</v>
      </c>
      <c r="Z65" s="104">
        <f t="shared" si="27"/>
        <v>0</v>
      </c>
      <c r="AA65" s="170">
        <f t="shared" si="36"/>
        <v>0</v>
      </c>
      <c r="AB65" s="78"/>
    </row>
    <row r="66" spans="1:28" s="56" customFormat="1" ht="14.25" customHeight="1">
      <c r="A66" s="415" t="s">
        <v>166</v>
      </c>
      <c r="B66" s="394" t="s">
        <v>529</v>
      </c>
      <c r="C66" s="392" t="s">
        <v>5</v>
      </c>
      <c r="D66" s="392" t="s">
        <v>348</v>
      </c>
      <c r="E66" s="461">
        <v>2.5</v>
      </c>
      <c r="F66" s="90" t="s">
        <v>98</v>
      </c>
      <c r="G66" s="91" t="s">
        <v>190</v>
      </c>
      <c r="H66" s="450">
        <f>1/1000</f>
        <v>1E-3</v>
      </c>
      <c r="I66" s="394"/>
      <c r="J66" s="395">
        <f>J65*Parameter!$C$50</f>
        <v>0</v>
      </c>
      <c r="K66" s="92">
        <f t="shared" si="37"/>
        <v>0</v>
      </c>
      <c r="L66" s="96">
        <f>$H66*J66</f>
        <v>0</v>
      </c>
      <c r="M66" s="395">
        <f>M65*Parameter!$C$50</f>
        <v>0</v>
      </c>
      <c r="N66" s="92">
        <f t="shared" si="27"/>
        <v>0</v>
      </c>
      <c r="O66" s="96">
        <f t="shared" si="28"/>
        <v>0</v>
      </c>
      <c r="P66" s="395">
        <f>P65*Parameter!$C$50</f>
        <v>0</v>
      </c>
      <c r="Q66" s="92">
        <f t="shared" si="27"/>
        <v>0</v>
      </c>
      <c r="R66" s="96">
        <f t="shared" si="30"/>
        <v>0</v>
      </c>
      <c r="S66" s="395">
        <f>S65*Parameter!$C$50</f>
        <v>0</v>
      </c>
      <c r="T66" s="92">
        <f t="shared" si="27"/>
        <v>0</v>
      </c>
      <c r="U66" s="96">
        <f t="shared" si="32"/>
        <v>0</v>
      </c>
      <c r="V66" s="395">
        <f>V65*Parameter!$C$50</f>
        <v>0</v>
      </c>
      <c r="W66" s="92">
        <f t="shared" si="27"/>
        <v>0</v>
      </c>
      <c r="X66" s="96">
        <f t="shared" si="34"/>
        <v>0</v>
      </c>
      <c r="Y66" s="395">
        <f>Y65*Parameter!$C$50</f>
        <v>0</v>
      </c>
      <c r="Z66" s="92">
        <f t="shared" si="27"/>
        <v>0</v>
      </c>
      <c r="AA66" s="96">
        <f t="shared" si="36"/>
        <v>0</v>
      </c>
      <c r="AB66" s="78"/>
    </row>
    <row r="67" spans="1:28" s="56" customFormat="1" ht="14.25" customHeight="1">
      <c r="A67" s="579" t="s">
        <v>166</v>
      </c>
      <c r="B67" s="409" t="s">
        <v>288</v>
      </c>
      <c r="C67" s="407" t="s">
        <v>5</v>
      </c>
      <c r="D67" s="407" t="s">
        <v>190</v>
      </c>
      <c r="E67" s="580">
        <f>Parameter!$C$94</f>
        <v>3500</v>
      </c>
      <c r="F67" s="146" t="s">
        <v>98</v>
      </c>
      <c r="G67" s="117" t="s">
        <v>190</v>
      </c>
      <c r="H67" s="412">
        <v>1</v>
      </c>
      <c r="I67" s="409"/>
      <c r="J67" s="410">
        <f>IFERROR(J5*J21*Parameter!$C$51,0)</f>
        <v>0</v>
      </c>
      <c r="K67" s="118">
        <f t="shared" si="37"/>
        <v>0</v>
      </c>
      <c r="L67" s="171">
        <f t="shared" si="38"/>
        <v>0</v>
      </c>
      <c r="M67" s="410">
        <f>IFERROR(M5*M21*Parameter!$C$51,0)</f>
        <v>0</v>
      </c>
      <c r="N67" s="118">
        <f t="shared" si="27"/>
        <v>0</v>
      </c>
      <c r="O67" s="171">
        <f t="shared" si="28"/>
        <v>0</v>
      </c>
      <c r="P67" s="410">
        <f>IFERROR(P5*P21*Parameter!$C$51,0)</f>
        <v>0</v>
      </c>
      <c r="Q67" s="118">
        <f t="shared" si="27"/>
        <v>0</v>
      </c>
      <c r="R67" s="171">
        <f t="shared" si="30"/>
        <v>0</v>
      </c>
      <c r="S67" s="410">
        <f>IFERROR(S5*S21*Parameter!$C$51,0)</f>
        <v>0</v>
      </c>
      <c r="T67" s="118">
        <f t="shared" si="27"/>
        <v>0</v>
      </c>
      <c r="U67" s="171">
        <f t="shared" si="32"/>
        <v>0</v>
      </c>
      <c r="V67" s="410">
        <f>IFERROR(V5*V21*Parameter!$C$51,0)</f>
        <v>0</v>
      </c>
      <c r="W67" s="118">
        <f t="shared" si="27"/>
        <v>0</v>
      </c>
      <c r="X67" s="171">
        <f t="shared" si="34"/>
        <v>0</v>
      </c>
      <c r="Y67" s="410">
        <f>IFERROR(Y5*Y21*Parameter!$C$51,0)</f>
        <v>0</v>
      </c>
      <c r="Z67" s="118">
        <f t="shared" si="27"/>
        <v>0</v>
      </c>
      <c r="AA67" s="171">
        <f t="shared" si="36"/>
        <v>0</v>
      </c>
      <c r="AB67" s="78"/>
    </row>
    <row r="68" spans="1:28" s="56" customFormat="1" ht="14.25" customHeight="1">
      <c r="A68" s="413" t="s">
        <v>168</v>
      </c>
      <c r="B68" s="448"/>
      <c r="C68" s="446" t="s">
        <v>5</v>
      </c>
      <c r="D68" s="446" t="s">
        <v>40</v>
      </c>
      <c r="E68" s="451">
        <f>Parameter!$C$95</f>
        <v>100</v>
      </c>
      <c r="F68" s="145" t="s">
        <v>192</v>
      </c>
      <c r="G68" s="124" t="s">
        <v>461</v>
      </c>
      <c r="H68" s="447">
        <v>1</v>
      </c>
      <c r="I68" s="448"/>
      <c r="J68" s="449">
        <f>IF(J32="Vollabdichtung",J5*J21,IF(J32="Teilabdichtung",J5*J21*Parameter!$C$43/100,0))</f>
        <v>0</v>
      </c>
      <c r="K68" s="127">
        <f t="shared" si="37"/>
        <v>0</v>
      </c>
      <c r="L68" s="125">
        <f t="shared" si="38"/>
        <v>0</v>
      </c>
      <c r="M68" s="449">
        <f>IF(M32="Vollabdichtung",M5*M21,IF(M32="Teilabdichtung",M5*M21*Parameter!$C$43/100,0))</f>
        <v>0</v>
      </c>
      <c r="N68" s="127">
        <f t="shared" si="27"/>
        <v>0</v>
      </c>
      <c r="O68" s="125">
        <f t="shared" si="28"/>
        <v>0</v>
      </c>
      <c r="P68" s="449">
        <f>IF(P32="Vollabdichtung",P5*P21,IF(P32="Teilabdichtung",P5*P21*Parameter!$C$43/100,0))</f>
        <v>0</v>
      </c>
      <c r="Q68" s="127">
        <f t="shared" si="27"/>
        <v>0</v>
      </c>
      <c r="R68" s="125">
        <f t="shared" si="30"/>
        <v>0</v>
      </c>
      <c r="S68" s="449">
        <f>IF(S32="Vollabdichtung",S5*S21,IF(S32="Teilabdichtung",S5*S21*Parameter!$C$43/100,0))</f>
        <v>0</v>
      </c>
      <c r="T68" s="127">
        <f t="shared" si="27"/>
        <v>0</v>
      </c>
      <c r="U68" s="125">
        <f t="shared" si="32"/>
        <v>0</v>
      </c>
      <c r="V68" s="449">
        <f>IF(V32="Vollabdichtung",V5*V21,IF(V32="Teilabdichtung",V5*V21*Parameter!$C$43/100,0))</f>
        <v>0</v>
      </c>
      <c r="W68" s="127">
        <f t="shared" si="27"/>
        <v>0</v>
      </c>
      <c r="X68" s="125">
        <f t="shared" si="34"/>
        <v>0</v>
      </c>
      <c r="Y68" s="449">
        <f>IF(Y32="Vollabdichtung",Y5*Y21,IF(Y32="Teilabdichtung",Y5*Y21*Parameter!$C$43/100,0))</f>
        <v>0</v>
      </c>
      <c r="Z68" s="127">
        <f t="shared" si="27"/>
        <v>0</v>
      </c>
      <c r="AA68" s="125">
        <f t="shared" si="36"/>
        <v>0</v>
      </c>
      <c r="AB68" s="78"/>
    </row>
    <row r="69" spans="1:28" s="56" customFormat="1" ht="14.25" customHeight="1">
      <c r="A69" s="414" t="s">
        <v>497</v>
      </c>
      <c r="B69" s="390" t="s">
        <v>191</v>
      </c>
      <c r="C69" s="388" t="s">
        <v>5</v>
      </c>
      <c r="D69" s="388" t="s">
        <v>516</v>
      </c>
      <c r="E69" s="129">
        <f>Parameter!$C$96</f>
        <v>300</v>
      </c>
      <c r="F69" s="114" t="s">
        <v>191</v>
      </c>
      <c r="G69" s="107" t="s">
        <v>526</v>
      </c>
      <c r="H69" s="389">
        <v>1</v>
      </c>
      <c r="I69" s="390"/>
      <c r="J69" s="391">
        <f>IFERROR(J5*(J22-J31),0)</f>
        <v>0</v>
      </c>
      <c r="K69" s="108">
        <f t="shared" si="37"/>
        <v>0</v>
      </c>
      <c r="L69" s="172">
        <f t="shared" si="38"/>
        <v>0</v>
      </c>
      <c r="M69" s="391">
        <f>IFERROR(M5*(M22-M31),0)</f>
        <v>0</v>
      </c>
      <c r="N69" s="108">
        <f t="shared" si="27"/>
        <v>0</v>
      </c>
      <c r="O69" s="172">
        <f t="shared" si="28"/>
        <v>0</v>
      </c>
      <c r="P69" s="391">
        <f>IFERROR(P5*(P22-P31),0)</f>
        <v>0</v>
      </c>
      <c r="Q69" s="108">
        <f t="shared" si="27"/>
        <v>0</v>
      </c>
      <c r="R69" s="172">
        <f t="shared" si="30"/>
        <v>0</v>
      </c>
      <c r="S69" s="391">
        <f>IFERROR(S5*(S22-S31),0)</f>
        <v>0</v>
      </c>
      <c r="T69" s="108">
        <f t="shared" si="27"/>
        <v>0</v>
      </c>
      <c r="U69" s="172">
        <f t="shared" si="32"/>
        <v>0</v>
      </c>
      <c r="V69" s="391">
        <f>IFERROR(V5*(V22-V31),0)</f>
        <v>0</v>
      </c>
      <c r="W69" s="108">
        <f t="shared" si="27"/>
        <v>0</v>
      </c>
      <c r="X69" s="172">
        <f t="shared" si="34"/>
        <v>0</v>
      </c>
      <c r="Y69" s="391">
        <f>IFERROR(Y5*(Y22-Y31),0)</f>
        <v>0</v>
      </c>
      <c r="Z69" s="108">
        <f t="shared" si="27"/>
        <v>0</v>
      </c>
      <c r="AA69" s="172">
        <f t="shared" si="36"/>
        <v>0</v>
      </c>
      <c r="AB69" s="78"/>
    </row>
    <row r="70" spans="1:28" ht="14.25" customHeight="1">
      <c r="A70" s="415" t="s">
        <v>497</v>
      </c>
      <c r="B70" s="394" t="s">
        <v>532</v>
      </c>
      <c r="C70" s="392" t="s">
        <v>5</v>
      </c>
      <c r="D70" s="392" t="s">
        <v>516</v>
      </c>
      <c r="E70" s="95">
        <f>Parameter!$C$97</f>
        <v>200</v>
      </c>
      <c r="F70" s="94" t="s">
        <v>191</v>
      </c>
      <c r="G70" s="91" t="s">
        <v>526</v>
      </c>
      <c r="H70" s="393">
        <v>1</v>
      </c>
      <c r="I70" s="394"/>
      <c r="J70" s="395">
        <f>IFERROR(J$5*((J$33-J$34)*Parameter!$C$44/100+J$34),0)</f>
        <v>0</v>
      </c>
      <c r="K70" s="92">
        <f t="shared" si="37"/>
        <v>0</v>
      </c>
      <c r="L70" s="96">
        <f t="shared" si="38"/>
        <v>0</v>
      </c>
      <c r="M70" s="395">
        <f>IFERROR(M$5*((M$33-M$34)*Parameter!$C$44/100+M$34),0)</f>
        <v>0</v>
      </c>
      <c r="N70" s="92">
        <f t="shared" si="27"/>
        <v>0</v>
      </c>
      <c r="O70" s="96">
        <f t="shared" si="28"/>
        <v>0</v>
      </c>
      <c r="P70" s="395">
        <f>IFERROR(P$5*((P$33-P$34)*Parameter!$C$44/100+P$34),0)</f>
        <v>0</v>
      </c>
      <c r="Q70" s="92">
        <f t="shared" si="27"/>
        <v>0</v>
      </c>
      <c r="R70" s="96">
        <f t="shared" si="30"/>
        <v>0</v>
      </c>
      <c r="S70" s="395">
        <f>IFERROR(S$5*((S$33-S$34)*Parameter!$C$44/100+S$34),0)</f>
        <v>0</v>
      </c>
      <c r="T70" s="92">
        <f t="shared" si="27"/>
        <v>0</v>
      </c>
      <c r="U70" s="96">
        <f t="shared" si="32"/>
        <v>0</v>
      </c>
      <c r="V70" s="395">
        <f>IFERROR(V$5*((V$33-V$34)*Parameter!$C$44/100+V$34),0)</f>
        <v>0</v>
      </c>
      <c r="W70" s="92">
        <f t="shared" si="27"/>
        <v>0</v>
      </c>
      <c r="X70" s="96">
        <f t="shared" si="34"/>
        <v>0</v>
      </c>
      <c r="Y70" s="395">
        <f>IFERROR(Y$5*((Y$33-Y$34)*Parameter!$C$44/100+Y$34),0)</f>
        <v>0</v>
      </c>
      <c r="Z70" s="92">
        <f t="shared" si="27"/>
        <v>0</v>
      </c>
      <c r="AA70" s="96">
        <f t="shared" si="36"/>
        <v>0</v>
      </c>
      <c r="AB70" s="10"/>
    </row>
    <row r="71" spans="1:28" ht="14.25" customHeight="1">
      <c r="A71" s="415" t="s">
        <v>497</v>
      </c>
      <c r="B71" s="394" t="s">
        <v>533</v>
      </c>
      <c r="C71" s="392" t="s">
        <v>5</v>
      </c>
      <c r="D71" s="392" t="s">
        <v>516</v>
      </c>
      <c r="E71" s="95">
        <f>Parameter!$C$98</f>
        <v>20</v>
      </c>
      <c r="F71" s="94" t="s">
        <v>100</v>
      </c>
      <c r="G71" s="91" t="s">
        <v>526</v>
      </c>
      <c r="H71" s="393">
        <v>1</v>
      </c>
      <c r="I71" s="394"/>
      <c r="J71" s="395">
        <f>IFERROR(J$5*(J$33)-J$70,0)</f>
        <v>0</v>
      </c>
      <c r="K71" s="92">
        <f t="shared" si="37"/>
        <v>0</v>
      </c>
      <c r="L71" s="96">
        <f t="shared" si="38"/>
        <v>0</v>
      </c>
      <c r="M71" s="395">
        <f>IFERROR(M$5*(M$33)-M$70,0)</f>
        <v>0</v>
      </c>
      <c r="N71" s="92">
        <f t="shared" si="27"/>
        <v>0</v>
      </c>
      <c r="O71" s="96">
        <f t="shared" si="28"/>
        <v>0</v>
      </c>
      <c r="P71" s="395">
        <f>IFERROR(P$5*(P$33)-P$70,0)</f>
        <v>0</v>
      </c>
      <c r="Q71" s="92">
        <f t="shared" si="27"/>
        <v>0</v>
      </c>
      <c r="R71" s="96">
        <f t="shared" si="30"/>
        <v>0</v>
      </c>
      <c r="S71" s="395">
        <f>IFERROR(S$5*(S$33)-S$70,0)</f>
        <v>0</v>
      </c>
      <c r="T71" s="92">
        <f t="shared" si="27"/>
        <v>0</v>
      </c>
      <c r="U71" s="96">
        <f t="shared" si="32"/>
        <v>0</v>
      </c>
      <c r="V71" s="395">
        <f>IFERROR(V$5*(V$33)-V$70,0)</f>
        <v>0</v>
      </c>
      <c r="W71" s="92">
        <f t="shared" si="27"/>
        <v>0</v>
      </c>
      <c r="X71" s="96">
        <f t="shared" si="34"/>
        <v>0</v>
      </c>
      <c r="Y71" s="395">
        <f>IFERROR(Y$5*(Y$33)-Y$70,0)</f>
        <v>0</v>
      </c>
      <c r="Z71" s="92">
        <f t="shared" si="27"/>
        <v>0</v>
      </c>
      <c r="AA71" s="96">
        <f t="shared" si="36"/>
        <v>0</v>
      </c>
      <c r="AB71" s="10"/>
    </row>
    <row r="72" spans="1:28" ht="14.25" customHeight="1">
      <c r="A72" s="579" t="s">
        <v>497</v>
      </c>
      <c r="B72" s="409" t="s">
        <v>534</v>
      </c>
      <c r="C72" s="407" t="s">
        <v>5</v>
      </c>
      <c r="D72" s="407" t="s">
        <v>348</v>
      </c>
      <c r="E72" s="120">
        <f>Parameter!$C$99</f>
        <v>2.5</v>
      </c>
      <c r="F72" s="116" t="s">
        <v>98</v>
      </c>
      <c r="G72" s="117" t="s">
        <v>190</v>
      </c>
      <c r="H72" s="445">
        <f>1/1000</f>
        <v>1E-3</v>
      </c>
      <c r="I72" s="409"/>
      <c r="J72" s="410">
        <f>IFERROR(J$34*J$5*Parameter!$C$45,0)</f>
        <v>0</v>
      </c>
      <c r="K72" s="118">
        <f t="shared" si="37"/>
        <v>0</v>
      </c>
      <c r="L72" s="171">
        <f t="shared" si="38"/>
        <v>0</v>
      </c>
      <c r="M72" s="410">
        <f>IFERROR(M$34*M$5*Parameter!$C$45,0)</f>
        <v>0</v>
      </c>
      <c r="N72" s="118">
        <f t="shared" si="27"/>
        <v>0</v>
      </c>
      <c r="O72" s="171">
        <f t="shared" si="28"/>
        <v>0</v>
      </c>
      <c r="P72" s="410">
        <f>IFERROR(P$34*P$5*Parameter!$C$45,0)</f>
        <v>0</v>
      </c>
      <c r="Q72" s="118">
        <f t="shared" si="27"/>
        <v>0</v>
      </c>
      <c r="R72" s="171">
        <f t="shared" si="30"/>
        <v>0</v>
      </c>
      <c r="S72" s="410">
        <f>IFERROR(S$34*S$5*Parameter!$C$45,0)</f>
        <v>0</v>
      </c>
      <c r="T72" s="118">
        <f t="shared" si="27"/>
        <v>0</v>
      </c>
      <c r="U72" s="171">
        <f t="shared" si="32"/>
        <v>0</v>
      </c>
      <c r="V72" s="410">
        <f>IFERROR(V$34*V$5*Parameter!$C$45,0)</f>
        <v>0</v>
      </c>
      <c r="W72" s="118">
        <f t="shared" si="27"/>
        <v>0</v>
      </c>
      <c r="X72" s="171">
        <f t="shared" si="34"/>
        <v>0</v>
      </c>
      <c r="Y72" s="410">
        <f>IFERROR(Y$34*Y$5*Parameter!$C$45,0)</f>
        <v>0</v>
      </c>
      <c r="Z72" s="118">
        <f t="shared" si="27"/>
        <v>0</v>
      </c>
      <c r="AA72" s="171">
        <f t="shared" si="36"/>
        <v>0</v>
      </c>
      <c r="AB72" s="10"/>
    </row>
    <row r="73" spans="1:28" s="56" customFormat="1" ht="14.25" customHeight="1">
      <c r="A73" s="816" t="s">
        <v>104</v>
      </c>
      <c r="B73" s="533" t="s">
        <v>508</v>
      </c>
      <c r="C73" s="535" t="s">
        <v>5</v>
      </c>
      <c r="D73" s="388" t="s">
        <v>516</v>
      </c>
      <c r="E73" s="534">
        <f>Parameter!$C$100</f>
        <v>5</v>
      </c>
      <c r="F73" s="533"/>
      <c r="G73" s="535" t="s">
        <v>5</v>
      </c>
      <c r="H73" s="533"/>
      <c r="I73" s="533"/>
      <c r="J73" s="536">
        <f>IFERROR(J$53*J36/100,0)</f>
        <v>0</v>
      </c>
      <c r="K73" s="574">
        <f>ROUND($E73*J73,)</f>
        <v>0</v>
      </c>
      <c r="L73" s="575"/>
      <c r="M73" s="536">
        <f t="shared" ref="M73:Y78" si="39">IFERROR(M$53*M36/100,0)</f>
        <v>0</v>
      </c>
      <c r="N73" s="574">
        <f t="shared" si="27"/>
        <v>0</v>
      </c>
      <c r="O73" s="575"/>
      <c r="P73" s="536">
        <f t="shared" ref="P73" si="40">IFERROR(P$53*P36/100,0)</f>
        <v>0</v>
      </c>
      <c r="Q73" s="574">
        <f t="shared" si="27"/>
        <v>0</v>
      </c>
      <c r="R73" s="575"/>
      <c r="S73" s="536">
        <f t="shared" ref="S73" si="41">IFERROR(S$53*S36/100,0)</f>
        <v>0</v>
      </c>
      <c r="T73" s="574">
        <f t="shared" si="27"/>
        <v>0</v>
      </c>
      <c r="U73" s="575"/>
      <c r="V73" s="536">
        <f t="shared" ref="V73" si="42">IFERROR(V$53*V36/100,0)</f>
        <v>0</v>
      </c>
      <c r="W73" s="574">
        <f t="shared" si="27"/>
        <v>0</v>
      </c>
      <c r="X73" s="575"/>
      <c r="Y73" s="536">
        <f t="shared" ref="Y73" si="43">IFERROR(Y$53*Y36/100,0)</f>
        <v>0</v>
      </c>
      <c r="Z73" s="574">
        <f t="shared" si="27"/>
        <v>0</v>
      </c>
      <c r="AA73" s="575"/>
      <c r="AB73" s="78"/>
    </row>
    <row r="74" spans="1:28" s="56" customFormat="1" ht="14.25" customHeight="1">
      <c r="A74" s="817" t="s">
        <v>104</v>
      </c>
      <c r="B74" s="537" t="s">
        <v>509</v>
      </c>
      <c r="C74" s="539" t="s">
        <v>5</v>
      </c>
      <c r="D74" s="392" t="s">
        <v>516</v>
      </c>
      <c r="E74" s="538">
        <f>Parameter!$C$101</f>
        <v>-20</v>
      </c>
      <c r="F74" s="537"/>
      <c r="G74" s="539" t="s">
        <v>5</v>
      </c>
      <c r="H74" s="537"/>
      <c r="I74" s="537"/>
      <c r="J74" s="541">
        <f t="shared" ref="J74:J78" si="44">IFERROR(J$53*J37/100,0)</f>
        <v>0</v>
      </c>
      <c r="K74" s="279">
        <f t="shared" ref="K74:K78" si="45">ROUND($E74*J74,)</f>
        <v>0</v>
      </c>
      <c r="L74" s="540"/>
      <c r="M74" s="541">
        <f t="shared" si="39"/>
        <v>0</v>
      </c>
      <c r="N74" s="279">
        <f t="shared" si="27"/>
        <v>0</v>
      </c>
      <c r="O74" s="540"/>
      <c r="P74" s="541">
        <f t="shared" si="39"/>
        <v>0</v>
      </c>
      <c r="Q74" s="279">
        <f t="shared" si="27"/>
        <v>0</v>
      </c>
      <c r="R74" s="540"/>
      <c r="S74" s="541">
        <f t="shared" si="39"/>
        <v>0</v>
      </c>
      <c r="T74" s="279">
        <f t="shared" si="27"/>
        <v>0</v>
      </c>
      <c r="U74" s="540"/>
      <c r="V74" s="541">
        <f t="shared" si="39"/>
        <v>0</v>
      </c>
      <c r="W74" s="279">
        <f t="shared" si="27"/>
        <v>0</v>
      </c>
      <c r="X74" s="540"/>
      <c r="Y74" s="541">
        <f t="shared" si="39"/>
        <v>0</v>
      </c>
      <c r="Z74" s="279">
        <f t="shared" si="27"/>
        <v>0</v>
      </c>
      <c r="AA74" s="576"/>
      <c r="AB74" s="78"/>
    </row>
    <row r="75" spans="1:28" s="56" customFormat="1" ht="14.25" customHeight="1">
      <c r="A75" s="817" t="s">
        <v>104</v>
      </c>
      <c r="B75" s="537" t="s">
        <v>510</v>
      </c>
      <c r="C75" s="539" t="s">
        <v>5</v>
      </c>
      <c r="D75" s="392" t="s">
        <v>516</v>
      </c>
      <c r="E75" s="538">
        <f>Parameter!$C$102</f>
        <v>-20</v>
      </c>
      <c r="F75" s="537"/>
      <c r="G75" s="539" t="s">
        <v>5</v>
      </c>
      <c r="H75" s="537"/>
      <c r="I75" s="537"/>
      <c r="J75" s="541">
        <f t="shared" si="44"/>
        <v>0</v>
      </c>
      <c r="K75" s="279">
        <f t="shared" si="45"/>
        <v>0</v>
      </c>
      <c r="L75" s="540"/>
      <c r="M75" s="541">
        <f t="shared" si="39"/>
        <v>0</v>
      </c>
      <c r="N75" s="279">
        <f t="shared" si="27"/>
        <v>0</v>
      </c>
      <c r="O75" s="540"/>
      <c r="P75" s="541">
        <f t="shared" si="39"/>
        <v>0</v>
      </c>
      <c r="Q75" s="279">
        <f t="shared" si="27"/>
        <v>0</v>
      </c>
      <c r="R75" s="540"/>
      <c r="S75" s="541">
        <f t="shared" si="39"/>
        <v>0</v>
      </c>
      <c r="T75" s="279">
        <f t="shared" si="27"/>
        <v>0</v>
      </c>
      <c r="U75" s="540"/>
      <c r="V75" s="541">
        <f t="shared" si="39"/>
        <v>0</v>
      </c>
      <c r="W75" s="279">
        <f t="shared" si="27"/>
        <v>0</v>
      </c>
      <c r="X75" s="540"/>
      <c r="Y75" s="541">
        <f t="shared" si="39"/>
        <v>0</v>
      </c>
      <c r="Z75" s="279">
        <f t="shared" si="27"/>
        <v>0</v>
      </c>
      <c r="AA75" s="576"/>
      <c r="AB75" s="78"/>
    </row>
    <row r="76" spans="1:28" s="56" customFormat="1" ht="14.25" customHeight="1">
      <c r="A76" s="817" t="s">
        <v>104</v>
      </c>
      <c r="B76" s="537" t="s">
        <v>511</v>
      </c>
      <c r="C76" s="539" t="s">
        <v>5</v>
      </c>
      <c r="D76" s="392" t="s">
        <v>516</v>
      </c>
      <c r="E76" s="538">
        <f>Parameter!$C$103</f>
        <v>15</v>
      </c>
      <c r="F76" s="537"/>
      <c r="G76" s="539" t="s">
        <v>5</v>
      </c>
      <c r="H76" s="537"/>
      <c r="I76" s="537"/>
      <c r="J76" s="552">
        <f t="shared" si="44"/>
        <v>0</v>
      </c>
      <c r="K76" s="279">
        <f t="shared" si="45"/>
        <v>0</v>
      </c>
      <c r="L76" s="540"/>
      <c r="M76" s="552">
        <f t="shared" si="39"/>
        <v>0</v>
      </c>
      <c r="N76" s="279">
        <f t="shared" si="27"/>
        <v>0</v>
      </c>
      <c r="O76" s="540"/>
      <c r="P76" s="552">
        <f t="shared" si="39"/>
        <v>0</v>
      </c>
      <c r="Q76" s="279">
        <f t="shared" si="27"/>
        <v>0</v>
      </c>
      <c r="R76" s="540"/>
      <c r="S76" s="552">
        <f t="shared" si="39"/>
        <v>0</v>
      </c>
      <c r="T76" s="279">
        <f t="shared" si="27"/>
        <v>0</v>
      </c>
      <c r="U76" s="540"/>
      <c r="V76" s="552">
        <f t="shared" si="39"/>
        <v>0</v>
      </c>
      <c r="W76" s="279">
        <f t="shared" si="27"/>
        <v>0</v>
      </c>
      <c r="X76" s="540"/>
      <c r="Y76" s="552">
        <f t="shared" si="39"/>
        <v>0</v>
      </c>
      <c r="Z76" s="279">
        <f t="shared" si="27"/>
        <v>0</v>
      </c>
      <c r="AA76" s="576"/>
      <c r="AB76" s="78"/>
    </row>
    <row r="77" spans="1:28" s="56" customFormat="1" ht="14.25" customHeight="1">
      <c r="A77" s="817" t="s">
        <v>104</v>
      </c>
      <c r="B77" s="537" t="s">
        <v>512</v>
      </c>
      <c r="C77" s="539" t="s">
        <v>5</v>
      </c>
      <c r="D77" s="392" t="s">
        <v>516</v>
      </c>
      <c r="E77" s="538">
        <f>Parameter!$C$104</f>
        <v>40</v>
      </c>
      <c r="F77" s="537"/>
      <c r="G77" s="539" t="s">
        <v>5</v>
      </c>
      <c r="H77" s="537"/>
      <c r="I77" s="537"/>
      <c r="J77" s="552">
        <f t="shared" si="44"/>
        <v>0</v>
      </c>
      <c r="K77" s="279">
        <f t="shared" si="45"/>
        <v>0</v>
      </c>
      <c r="L77" s="540"/>
      <c r="M77" s="552">
        <f t="shared" si="39"/>
        <v>0</v>
      </c>
      <c r="N77" s="279">
        <f t="shared" si="27"/>
        <v>0</v>
      </c>
      <c r="O77" s="540"/>
      <c r="P77" s="552">
        <f t="shared" si="39"/>
        <v>0</v>
      </c>
      <c r="Q77" s="279">
        <f t="shared" si="27"/>
        <v>0</v>
      </c>
      <c r="R77" s="540"/>
      <c r="S77" s="552">
        <f t="shared" si="39"/>
        <v>0</v>
      </c>
      <c r="T77" s="279">
        <f t="shared" si="27"/>
        <v>0</v>
      </c>
      <c r="U77" s="540"/>
      <c r="V77" s="552">
        <f t="shared" si="39"/>
        <v>0</v>
      </c>
      <c r="W77" s="279">
        <f t="shared" si="27"/>
        <v>0</v>
      </c>
      <c r="X77" s="540"/>
      <c r="Y77" s="552">
        <f t="shared" si="39"/>
        <v>0</v>
      </c>
      <c r="Z77" s="279">
        <f t="shared" si="27"/>
        <v>0</v>
      </c>
      <c r="AA77" s="576"/>
      <c r="AB77" s="78"/>
    </row>
    <row r="78" spans="1:28" s="56" customFormat="1" ht="14.25" customHeight="1">
      <c r="A78" s="818" t="s">
        <v>104</v>
      </c>
      <c r="B78" s="542" t="s">
        <v>513</v>
      </c>
      <c r="C78" s="544" t="s">
        <v>5</v>
      </c>
      <c r="D78" s="211" t="s">
        <v>526</v>
      </c>
      <c r="E78" s="543">
        <f>Parameter!$C$105</f>
        <v>60</v>
      </c>
      <c r="F78" s="542"/>
      <c r="G78" s="544" t="s">
        <v>5</v>
      </c>
      <c r="H78" s="542"/>
      <c r="I78" s="542"/>
      <c r="J78" s="553">
        <f t="shared" si="44"/>
        <v>0</v>
      </c>
      <c r="K78" s="577">
        <f t="shared" si="45"/>
        <v>0</v>
      </c>
      <c r="L78" s="545"/>
      <c r="M78" s="553">
        <f t="shared" si="39"/>
        <v>0</v>
      </c>
      <c r="N78" s="577">
        <f t="shared" si="27"/>
        <v>0</v>
      </c>
      <c r="O78" s="545"/>
      <c r="P78" s="553">
        <f t="shared" si="39"/>
        <v>0</v>
      </c>
      <c r="Q78" s="577">
        <f t="shared" si="27"/>
        <v>0</v>
      </c>
      <c r="R78" s="545"/>
      <c r="S78" s="553">
        <f t="shared" si="39"/>
        <v>0</v>
      </c>
      <c r="T78" s="577">
        <f t="shared" si="27"/>
        <v>0</v>
      </c>
      <c r="U78" s="545"/>
      <c r="V78" s="553">
        <f t="shared" si="39"/>
        <v>0</v>
      </c>
      <c r="W78" s="577">
        <f t="shared" si="27"/>
        <v>0</v>
      </c>
      <c r="X78" s="545"/>
      <c r="Y78" s="553">
        <f t="shared" si="39"/>
        <v>0</v>
      </c>
      <c r="Z78" s="577">
        <f t="shared" si="27"/>
        <v>0</v>
      </c>
      <c r="AA78" s="578"/>
      <c r="AB78" s="78"/>
    </row>
    <row r="79" spans="1:28" ht="14.25" customHeight="1">
      <c r="E79" s="50"/>
      <c r="F79" s="50"/>
      <c r="G79" s="53"/>
      <c r="K79" s="820"/>
      <c r="L79" s="825"/>
      <c r="M79" s="820"/>
      <c r="N79" s="825"/>
      <c r="O79" s="820"/>
      <c r="P79" s="825"/>
      <c r="Q79" s="820"/>
      <c r="R79" s="825"/>
      <c r="S79" s="820"/>
      <c r="T79" s="825"/>
      <c r="U79" s="820"/>
      <c r="V79" s="825"/>
    </row>
    <row r="80" spans="1:28" ht="14.25" customHeight="1">
      <c r="E80" s="50"/>
      <c r="F80" s="50"/>
      <c r="G80" s="53"/>
      <c r="K80" s="820"/>
      <c r="L80" s="825"/>
      <c r="M80" s="820"/>
      <c r="N80" s="825"/>
      <c r="O80" s="820"/>
      <c r="P80" s="825"/>
      <c r="Q80" s="820"/>
      <c r="R80" s="825"/>
      <c r="S80" s="820"/>
      <c r="T80" s="825"/>
      <c r="U80" s="820"/>
      <c r="V80" s="825"/>
    </row>
    <row r="81" spans="5:22" ht="14.25" customHeight="1">
      <c r="E81" s="50"/>
      <c r="F81" s="50"/>
      <c r="G81" s="53"/>
      <c r="K81" s="820"/>
      <c r="L81" s="271"/>
      <c r="M81" s="820"/>
      <c r="N81" s="271"/>
      <c r="O81" s="820"/>
      <c r="P81" s="271"/>
      <c r="Q81" s="820"/>
      <c r="R81" s="271"/>
      <c r="S81" s="820"/>
      <c r="T81" s="271"/>
      <c r="U81" s="820"/>
      <c r="V81" s="271"/>
    </row>
    <row r="82" spans="5:22" ht="14.25" customHeight="1">
      <c r="E82" s="50"/>
      <c r="F82" s="50"/>
      <c r="G82" s="53"/>
      <c r="K82" s="820"/>
      <c r="L82" s="271"/>
      <c r="M82" s="820"/>
      <c r="N82" s="271"/>
      <c r="O82" s="820"/>
      <c r="P82" s="271"/>
      <c r="Q82" s="820"/>
      <c r="R82" s="271"/>
      <c r="S82" s="820"/>
      <c r="T82" s="271"/>
      <c r="U82" s="820"/>
      <c r="V82" s="271"/>
    </row>
    <row r="83" spans="5:22" ht="14.25" customHeight="1">
      <c r="E83" s="50"/>
      <c r="F83" s="50"/>
      <c r="G83" s="53"/>
      <c r="K83" s="820"/>
      <c r="L83" s="271"/>
      <c r="M83" s="820"/>
      <c r="N83" s="271"/>
      <c r="O83" s="820"/>
      <c r="P83" s="271"/>
      <c r="Q83" s="820"/>
      <c r="R83" s="271"/>
      <c r="S83" s="820"/>
      <c r="T83" s="271"/>
      <c r="U83" s="820"/>
      <c r="V83" s="271"/>
    </row>
    <row r="84" spans="5:22" ht="14.25" customHeight="1">
      <c r="E84" s="50"/>
      <c r="F84" s="50"/>
      <c r="G84" s="53"/>
      <c r="K84" s="820"/>
      <c r="L84" s="271"/>
      <c r="M84" s="820"/>
      <c r="N84" s="271"/>
      <c r="O84" s="820"/>
      <c r="P84" s="271"/>
      <c r="Q84" s="820"/>
      <c r="R84" s="271"/>
      <c r="S84" s="820"/>
      <c r="T84" s="271"/>
      <c r="U84" s="820"/>
      <c r="V84" s="271"/>
    </row>
    <row r="85" spans="5:22" ht="14.25" customHeight="1">
      <c r="E85" s="50"/>
      <c r="F85" s="50"/>
      <c r="G85" s="53"/>
      <c r="K85" s="820"/>
      <c r="L85" s="271"/>
      <c r="M85" s="820"/>
      <c r="N85" s="271"/>
      <c r="O85" s="820"/>
      <c r="P85" s="271"/>
      <c r="Q85" s="820"/>
      <c r="R85" s="271"/>
      <c r="S85" s="820"/>
      <c r="T85" s="271"/>
      <c r="U85" s="820"/>
      <c r="V85" s="271"/>
    </row>
    <row r="86" spans="5:22" ht="14.25" customHeight="1">
      <c r="E86" s="50"/>
      <c r="F86" s="50"/>
      <c r="G86" s="53"/>
      <c r="K86" s="820"/>
      <c r="L86" s="271"/>
      <c r="M86" s="820"/>
      <c r="N86" s="271"/>
      <c r="O86" s="820"/>
      <c r="P86" s="271"/>
      <c r="Q86" s="820"/>
      <c r="R86" s="271"/>
      <c r="S86" s="820"/>
      <c r="T86" s="271"/>
      <c r="U86" s="820"/>
      <c r="V86" s="271"/>
    </row>
    <row r="87" spans="5:22" ht="14.25" customHeight="1">
      <c r="E87" s="50"/>
      <c r="F87" s="50"/>
      <c r="G87" s="53"/>
      <c r="K87" s="820"/>
      <c r="L87" s="271"/>
      <c r="M87" s="820"/>
      <c r="N87" s="271"/>
      <c r="O87" s="820"/>
      <c r="P87" s="271"/>
      <c r="Q87" s="820"/>
      <c r="R87" s="271"/>
      <c r="S87" s="820"/>
      <c r="T87" s="271"/>
      <c r="U87" s="820"/>
      <c r="V87" s="271"/>
    </row>
    <row r="88" spans="5:22" ht="14.25" customHeight="1">
      <c r="E88" s="50"/>
      <c r="F88" s="50"/>
      <c r="G88" s="53"/>
      <c r="K88" s="820"/>
      <c r="L88" s="271"/>
      <c r="M88" s="820"/>
      <c r="N88" s="271"/>
      <c r="O88" s="820"/>
      <c r="P88" s="271"/>
      <c r="Q88" s="820"/>
      <c r="R88" s="271"/>
      <c r="S88" s="820"/>
      <c r="T88" s="271"/>
      <c r="U88" s="820"/>
      <c r="V88" s="271"/>
    </row>
    <row r="89" spans="5:22" ht="14.25" customHeight="1">
      <c r="E89" s="50"/>
      <c r="F89" s="50"/>
      <c r="G89" s="53"/>
      <c r="K89" s="820"/>
      <c r="L89" s="271"/>
      <c r="M89" s="820"/>
      <c r="N89" s="271"/>
      <c r="O89" s="820"/>
      <c r="P89" s="271"/>
      <c r="Q89" s="820"/>
      <c r="R89" s="271"/>
      <c r="S89" s="820"/>
      <c r="T89" s="271"/>
      <c r="U89" s="820"/>
      <c r="V89" s="271"/>
    </row>
    <row r="90" spans="5:22" ht="14.25" customHeight="1">
      <c r="E90" s="50"/>
      <c r="F90" s="50"/>
      <c r="G90" s="53"/>
      <c r="K90" s="820"/>
      <c r="L90" s="271"/>
      <c r="M90" s="820"/>
      <c r="N90" s="271"/>
      <c r="O90" s="820"/>
      <c r="P90" s="271"/>
      <c r="Q90" s="820"/>
      <c r="R90" s="271"/>
      <c r="S90" s="820"/>
      <c r="T90" s="271"/>
      <c r="U90" s="820"/>
      <c r="V90" s="271"/>
    </row>
    <row r="91" spans="5:22" ht="14.25" customHeight="1">
      <c r="E91" s="50"/>
      <c r="F91" s="50"/>
      <c r="G91" s="53"/>
      <c r="K91" s="820"/>
      <c r="L91" s="271"/>
      <c r="M91" s="820"/>
      <c r="N91" s="271"/>
      <c r="O91" s="820"/>
      <c r="P91" s="271"/>
      <c r="Q91" s="820"/>
      <c r="R91" s="271"/>
      <c r="S91" s="820"/>
      <c r="T91" s="271"/>
      <c r="U91" s="820"/>
      <c r="V91" s="271"/>
    </row>
    <row r="92" spans="5:22" ht="14.25" customHeight="1">
      <c r="E92" s="50"/>
      <c r="F92" s="50"/>
      <c r="G92" s="53"/>
      <c r="K92" s="820"/>
      <c r="L92" s="271"/>
      <c r="M92" s="820"/>
      <c r="N92" s="271"/>
      <c r="O92" s="820"/>
      <c r="P92" s="271"/>
      <c r="Q92" s="820"/>
      <c r="R92" s="271"/>
      <c r="S92" s="820"/>
      <c r="T92" s="271"/>
      <c r="U92" s="820"/>
      <c r="V92" s="271"/>
    </row>
    <row r="93" spans="5:22" ht="14.25" customHeight="1">
      <c r="E93" s="50"/>
      <c r="F93" s="50"/>
      <c r="G93" s="53"/>
      <c r="K93" s="820"/>
      <c r="L93" s="271"/>
      <c r="M93" s="820"/>
      <c r="N93" s="271"/>
      <c r="O93" s="820"/>
      <c r="P93" s="271"/>
      <c r="Q93" s="820"/>
      <c r="R93" s="271"/>
      <c r="S93" s="820"/>
      <c r="T93" s="271"/>
      <c r="U93" s="820"/>
      <c r="V93" s="271"/>
    </row>
    <row r="94" spans="5:22" ht="14.25" customHeight="1">
      <c r="E94" s="50"/>
      <c r="F94" s="50"/>
      <c r="G94" s="53"/>
      <c r="K94" s="820"/>
      <c r="L94" s="271"/>
      <c r="M94" s="820"/>
      <c r="N94" s="271"/>
      <c r="O94" s="820"/>
      <c r="P94" s="271"/>
      <c r="Q94" s="820"/>
      <c r="R94" s="271"/>
      <c r="S94" s="820"/>
      <c r="T94" s="271"/>
      <c r="U94" s="820"/>
      <c r="V94" s="271"/>
    </row>
    <row r="95" spans="5:22" ht="14.25" customHeight="1">
      <c r="E95" s="50"/>
      <c r="F95" s="50"/>
      <c r="G95" s="53"/>
      <c r="K95" s="820"/>
      <c r="L95" s="271"/>
      <c r="M95" s="820"/>
      <c r="N95" s="271"/>
      <c r="O95" s="820"/>
      <c r="P95" s="271"/>
      <c r="Q95" s="820"/>
      <c r="R95" s="271"/>
      <c r="S95" s="820"/>
      <c r="T95" s="271"/>
      <c r="U95" s="820"/>
      <c r="V95" s="271"/>
    </row>
    <row r="96" spans="5:22" ht="14.25" customHeight="1">
      <c r="E96" s="50"/>
      <c r="F96" s="50"/>
      <c r="G96" s="53"/>
      <c r="K96" s="820"/>
      <c r="L96" s="271"/>
      <c r="M96" s="820"/>
      <c r="N96" s="271"/>
      <c r="O96" s="820"/>
      <c r="P96" s="271"/>
      <c r="Q96" s="820"/>
      <c r="R96" s="271"/>
      <c r="S96" s="820"/>
      <c r="T96" s="271"/>
      <c r="U96" s="820"/>
      <c r="V96" s="271"/>
    </row>
    <row r="97" spans="5:22" ht="14.25" customHeight="1">
      <c r="E97" s="50"/>
      <c r="F97" s="50"/>
      <c r="G97" s="53"/>
      <c r="K97" s="820"/>
      <c r="L97" s="271"/>
      <c r="M97" s="820"/>
      <c r="N97" s="271"/>
      <c r="O97" s="820"/>
      <c r="P97" s="271"/>
      <c r="Q97" s="820"/>
      <c r="R97" s="271"/>
      <c r="S97" s="820"/>
      <c r="T97" s="271"/>
      <c r="U97" s="820"/>
      <c r="V97" s="271"/>
    </row>
    <row r="98" spans="5:22" ht="14.25" customHeight="1">
      <c r="E98" s="50"/>
      <c r="F98" s="50"/>
      <c r="G98" s="53"/>
      <c r="K98" s="820"/>
      <c r="L98" s="271"/>
      <c r="M98" s="820"/>
      <c r="N98" s="271"/>
      <c r="O98" s="820"/>
      <c r="P98" s="271"/>
      <c r="Q98" s="820"/>
      <c r="R98" s="271"/>
      <c r="S98" s="820"/>
      <c r="T98" s="271"/>
      <c r="U98" s="820"/>
      <c r="V98" s="271"/>
    </row>
    <row r="99" spans="5:22" ht="14.25" customHeight="1">
      <c r="E99" s="50"/>
      <c r="F99" s="50"/>
      <c r="G99" s="53"/>
      <c r="K99" s="820"/>
      <c r="L99" s="271"/>
      <c r="M99" s="820"/>
      <c r="N99" s="271"/>
      <c r="O99" s="820"/>
      <c r="P99" s="271"/>
      <c r="Q99" s="820"/>
      <c r="R99" s="271"/>
      <c r="S99" s="820"/>
      <c r="T99" s="271"/>
      <c r="U99" s="820"/>
      <c r="V99" s="271"/>
    </row>
    <row r="100" spans="5:22" ht="14.25" customHeight="1">
      <c r="E100" s="50"/>
      <c r="F100" s="50"/>
      <c r="G100" s="53"/>
      <c r="K100" s="820"/>
      <c r="L100" s="271"/>
      <c r="M100" s="820"/>
      <c r="N100" s="271"/>
      <c r="O100" s="820"/>
      <c r="P100" s="271"/>
      <c r="Q100" s="820"/>
      <c r="R100" s="271"/>
      <c r="S100" s="820"/>
      <c r="T100" s="271"/>
      <c r="U100" s="820"/>
      <c r="V100" s="271"/>
    </row>
    <row r="101" spans="5:22" ht="14.25" customHeight="1">
      <c r="E101" s="50"/>
      <c r="F101" s="50"/>
      <c r="G101" s="53"/>
      <c r="K101" s="820"/>
      <c r="L101" s="271"/>
      <c r="M101" s="820"/>
      <c r="N101" s="271"/>
      <c r="O101" s="820"/>
      <c r="P101" s="271"/>
      <c r="Q101" s="820"/>
      <c r="R101" s="271"/>
      <c r="S101" s="820"/>
      <c r="T101" s="271"/>
      <c r="U101" s="820"/>
      <c r="V101" s="271"/>
    </row>
    <row r="102" spans="5:22" ht="14.25" customHeight="1">
      <c r="E102" s="50"/>
      <c r="F102" s="50"/>
      <c r="G102" s="53"/>
      <c r="K102" s="820"/>
      <c r="L102" s="271"/>
      <c r="M102" s="820"/>
      <c r="N102" s="271"/>
      <c r="O102" s="820"/>
      <c r="P102" s="271"/>
      <c r="Q102" s="820"/>
      <c r="R102" s="271"/>
      <c r="S102" s="820"/>
      <c r="T102" s="271"/>
      <c r="U102" s="820"/>
      <c r="V102" s="271"/>
    </row>
    <row r="103" spans="5:22" ht="14.25" customHeight="1">
      <c r="E103" s="50"/>
      <c r="F103" s="50"/>
      <c r="G103" s="53"/>
      <c r="K103" s="820"/>
      <c r="L103" s="271"/>
      <c r="M103" s="820"/>
      <c r="N103" s="271"/>
      <c r="O103" s="820"/>
      <c r="P103" s="271"/>
      <c r="Q103" s="820"/>
      <c r="R103" s="271"/>
      <c r="S103" s="820"/>
      <c r="T103" s="271"/>
      <c r="U103" s="820"/>
      <c r="V103" s="271"/>
    </row>
    <row r="104" spans="5:22" ht="14.25" customHeight="1">
      <c r="E104" s="50"/>
      <c r="F104" s="50"/>
      <c r="G104" s="53"/>
      <c r="K104" s="820"/>
      <c r="L104" s="271"/>
      <c r="M104" s="820"/>
      <c r="N104" s="271"/>
      <c r="O104" s="820"/>
      <c r="P104" s="271"/>
      <c r="Q104" s="820"/>
      <c r="R104" s="271"/>
      <c r="S104" s="820"/>
      <c r="T104" s="271"/>
      <c r="U104" s="820"/>
      <c r="V104" s="271"/>
    </row>
    <row r="105" spans="5:22" ht="14.25" customHeight="1">
      <c r="E105" s="50"/>
      <c r="F105" s="50"/>
      <c r="G105" s="53"/>
      <c r="K105" s="820"/>
      <c r="L105" s="271"/>
      <c r="M105" s="820"/>
      <c r="N105" s="271"/>
      <c r="O105" s="820"/>
      <c r="P105" s="271"/>
      <c r="Q105" s="820"/>
      <c r="R105" s="271"/>
      <c r="S105" s="820"/>
      <c r="T105" s="271"/>
      <c r="U105" s="820"/>
      <c r="V105" s="271"/>
    </row>
    <row r="106" spans="5:22" ht="14.25" customHeight="1">
      <c r="E106" s="50"/>
      <c r="F106" s="50"/>
      <c r="G106" s="53"/>
      <c r="K106" s="820"/>
      <c r="L106" s="271"/>
      <c r="M106" s="820"/>
      <c r="N106" s="271"/>
      <c r="O106" s="820"/>
      <c r="P106" s="271"/>
      <c r="Q106" s="820"/>
      <c r="R106" s="271"/>
      <c r="S106" s="820"/>
      <c r="T106" s="271"/>
      <c r="U106" s="820"/>
      <c r="V106" s="271"/>
    </row>
    <row r="107" spans="5:22" ht="14.25" customHeight="1">
      <c r="E107" s="50"/>
      <c r="F107" s="50"/>
      <c r="G107" s="53"/>
      <c r="K107" s="820"/>
      <c r="L107" s="271"/>
      <c r="M107" s="820"/>
      <c r="N107" s="271"/>
      <c r="O107" s="820"/>
      <c r="P107" s="271"/>
      <c r="Q107" s="820"/>
      <c r="R107" s="271"/>
      <c r="S107" s="820"/>
      <c r="T107" s="271"/>
      <c r="U107" s="820"/>
      <c r="V107" s="271"/>
    </row>
    <row r="108" spans="5:22" ht="14.25" customHeight="1">
      <c r="E108" s="50"/>
      <c r="F108" s="50"/>
      <c r="G108" s="53"/>
      <c r="K108" s="820"/>
      <c r="L108" s="271"/>
      <c r="M108" s="820"/>
      <c r="N108" s="271"/>
      <c r="O108" s="820"/>
      <c r="P108" s="271"/>
      <c r="Q108" s="820"/>
      <c r="R108" s="271"/>
      <c r="S108" s="820"/>
      <c r="T108" s="271"/>
      <c r="U108" s="820"/>
      <c r="V108" s="271"/>
    </row>
    <row r="109" spans="5:22" ht="14.25" customHeight="1">
      <c r="E109" s="50"/>
      <c r="F109" s="50"/>
      <c r="G109" s="53"/>
      <c r="K109" s="820"/>
      <c r="L109" s="271"/>
      <c r="M109" s="820"/>
      <c r="N109" s="271"/>
      <c r="O109" s="820"/>
      <c r="P109" s="271"/>
      <c r="Q109" s="820"/>
      <c r="R109" s="271"/>
      <c r="S109" s="820"/>
      <c r="T109" s="271"/>
      <c r="U109" s="820"/>
      <c r="V109" s="271"/>
    </row>
    <row r="110" spans="5:22" ht="14.25" customHeight="1">
      <c r="E110" s="50"/>
      <c r="F110" s="50"/>
      <c r="G110" s="53"/>
      <c r="K110" s="820"/>
      <c r="L110" s="271"/>
      <c r="M110" s="820"/>
      <c r="N110" s="271"/>
      <c r="O110" s="820"/>
      <c r="P110" s="271"/>
      <c r="Q110" s="820"/>
      <c r="R110" s="271"/>
      <c r="S110" s="820"/>
      <c r="T110" s="271"/>
      <c r="U110" s="820"/>
      <c r="V110" s="271"/>
    </row>
    <row r="111" spans="5:22" ht="14.25" customHeight="1">
      <c r="E111" s="50"/>
      <c r="F111" s="50"/>
      <c r="G111" s="53"/>
      <c r="K111" s="820"/>
      <c r="L111" s="271"/>
      <c r="M111" s="820"/>
      <c r="N111" s="271"/>
      <c r="O111" s="820"/>
      <c r="P111" s="271"/>
      <c r="Q111" s="820"/>
      <c r="R111" s="271"/>
      <c r="S111" s="820"/>
      <c r="T111" s="271"/>
      <c r="U111" s="820"/>
      <c r="V111" s="271"/>
    </row>
    <row r="112" spans="5:22" ht="14.25" customHeight="1">
      <c r="E112" s="50"/>
      <c r="F112" s="50"/>
      <c r="G112" s="53"/>
      <c r="K112" s="820"/>
      <c r="L112" s="271"/>
      <c r="M112" s="820"/>
      <c r="N112" s="271"/>
      <c r="O112" s="820"/>
      <c r="P112" s="271"/>
      <c r="Q112" s="820"/>
      <c r="R112" s="271"/>
      <c r="S112" s="820"/>
      <c r="T112" s="271"/>
      <c r="U112" s="820"/>
      <c r="V112" s="271"/>
    </row>
    <row r="113" spans="5:22" ht="14.25" customHeight="1">
      <c r="E113" s="50"/>
      <c r="F113" s="50"/>
      <c r="G113" s="53"/>
      <c r="K113" s="820"/>
      <c r="L113" s="271"/>
      <c r="M113" s="820"/>
      <c r="N113" s="271"/>
      <c r="O113" s="820"/>
      <c r="P113" s="271"/>
      <c r="Q113" s="820"/>
      <c r="R113" s="271"/>
      <c r="S113" s="820"/>
      <c r="T113" s="271"/>
      <c r="U113" s="820"/>
      <c r="V113" s="271"/>
    </row>
    <row r="114" spans="5:22" ht="14.25" customHeight="1">
      <c r="E114" s="50"/>
      <c r="F114" s="50"/>
      <c r="G114" s="53"/>
      <c r="K114" s="820"/>
      <c r="L114" s="271"/>
      <c r="M114" s="820"/>
      <c r="N114" s="271"/>
      <c r="O114" s="820"/>
      <c r="P114" s="271"/>
      <c r="Q114" s="820"/>
      <c r="R114" s="271"/>
      <c r="S114" s="820"/>
      <c r="T114" s="271"/>
      <c r="U114" s="820"/>
      <c r="V114" s="271"/>
    </row>
    <row r="115" spans="5:22" ht="14.25" customHeight="1">
      <c r="E115" s="50"/>
      <c r="F115" s="50"/>
      <c r="G115" s="53"/>
      <c r="K115" s="820"/>
      <c r="L115" s="271"/>
      <c r="M115" s="820"/>
      <c r="N115" s="271"/>
      <c r="O115" s="820"/>
      <c r="P115" s="271"/>
      <c r="Q115" s="820"/>
      <c r="R115" s="271"/>
      <c r="S115" s="820"/>
      <c r="T115" s="271"/>
      <c r="U115" s="820"/>
      <c r="V115" s="271"/>
    </row>
    <row r="116" spans="5:22" ht="14.25" customHeight="1">
      <c r="E116" s="50"/>
      <c r="F116" s="50"/>
      <c r="G116" s="53"/>
      <c r="K116" s="820"/>
      <c r="L116" s="271"/>
      <c r="M116" s="820"/>
      <c r="N116" s="271"/>
      <c r="O116" s="820"/>
      <c r="P116" s="271"/>
      <c r="Q116" s="820"/>
      <c r="R116" s="271"/>
      <c r="S116" s="820"/>
      <c r="T116" s="271"/>
      <c r="U116" s="820"/>
      <c r="V116" s="271"/>
    </row>
    <row r="117" spans="5:22" ht="14.25" customHeight="1">
      <c r="E117" s="50"/>
      <c r="F117" s="50"/>
      <c r="G117" s="53"/>
      <c r="K117" s="820"/>
      <c r="L117" s="271"/>
      <c r="M117" s="820"/>
      <c r="N117" s="271"/>
      <c r="O117" s="820"/>
      <c r="P117" s="271"/>
      <c r="Q117" s="820"/>
      <c r="R117" s="271"/>
      <c r="S117" s="820"/>
      <c r="T117" s="271"/>
      <c r="U117" s="820"/>
      <c r="V117" s="271"/>
    </row>
    <row r="118" spans="5:22" ht="14.25" customHeight="1">
      <c r="E118" s="50"/>
      <c r="F118" s="50"/>
      <c r="G118" s="53"/>
      <c r="K118" s="820"/>
      <c r="L118" s="271"/>
      <c r="M118" s="820"/>
      <c r="N118" s="271"/>
      <c r="O118" s="820"/>
      <c r="P118" s="271"/>
      <c r="Q118" s="820"/>
      <c r="R118" s="271"/>
      <c r="S118" s="820"/>
      <c r="T118" s="271"/>
      <c r="U118" s="820"/>
      <c r="V118" s="271"/>
    </row>
    <row r="119" spans="5:22" ht="14.25" customHeight="1">
      <c r="E119" s="50"/>
      <c r="F119" s="50"/>
      <c r="G119" s="53"/>
      <c r="K119" s="820"/>
      <c r="L119" s="271"/>
      <c r="M119" s="820"/>
      <c r="N119" s="271"/>
      <c r="O119" s="820"/>
      <c r="P119" s="271"/>
      <c r="Q119" s="820"/>
      <c r="R119" s="271"/>
      <c r="S119" s="820"/>
      <c r="T119" s="271"/>
      <c r="U119" s="820"/>
      <c r="V119" s="271"/>
    </row>
    <row r="120" spans="5:22" ht="14.25" customHeight="1">
      <c r="E120" s="50"/>
      <c r="F120" s="50"/>
      <c r="G120" s="53"/>
      <c r="K120" s="820"/>
      <c r="L120" s="271"/>
      <c r="M120" s="820"/>
      <c r="N120" s="271"/>
      <c r="O120" s="820"/>
      <c r="P120" s="271"/>
      <c r="Q120" s="820"/>
      <c r="R120" s="271"/>
      <c r="S120" s="820"/>
      <c r="T120" s="271"/>
      <c r="U120" s="820"/>
      <c r="V120" s="271"/>
    </row>
    <row r="121" spans="5:22" ht="14.25" customHeight="1">
      <c r="E121" s="50"/>
      <c r="F121" s="50"/>
      <c r="G121" s="53"/>
      <c r="K121" s="820"/>
      <c r="L121" s="271"/>
      <c r="M121" s="820"/>
      <c r="N121" s="271"/>
      <c r="O121" s="820"/>
      <c r="P121" s="271"/>
      <c r="Q121" s="820"/>
      <c r="R121" s="271"/>
      <c r="S121" s="820"/>
      <c r="T121" s="271"/>
      <c r="U121" s="820"/>
      <c r="V121" s="271"/>
    </row>
    <row r="122" spans="5:22" ht="14.25" customHeight="1">
      <c r="E122" s="50"/>
      <c r="F122" s="50"/>
      <c r="G122" s="53"/>
      <c r="K122" s="820"/>
      <c r="L122" s="271"/>
      <c r="M122" s="820"/>
      <c r="N122" s="271"/>
      <c r="O122" s="820"/>
      <c r="P122" s="271"/>
      <c r="Q122" s="820"/>
      <c r="R122" s="271"/>
      <c r="S122" s="820"/>
      <c r="T122" s="271"/>
      <c r="U122" s="820"/>
      <c r="V122" s="271"/>
    </row>
    <row r="123" spans="5:22" ht="14.25" customHeight="1">
      <c r="E123" s="50"/>
      <c r="F123" s="50"/>
      <c r="G123" s="53"/>
      <c r="K123" s="820"/>
      <c r="L123" s="271"/>
      <c r="M123" s="820"/>
      <c r="N123" s="271"/>
      <c r="O123" s="820"/>
      <c r="P123" s="271"/>
      <c r="Q123" s="820"/>
      <c r="R123" s="271"/>
      <c r="S123" s="820"/>
      <c r="T123" s="271"/>
      <c r="U123" s="820"/>
      <c r="V123" s="271"/>
    </row>
    <row r="124" spans="5:22" ht="14.25" customHeight="1">
      <c r="E124" s="50"/>
      <c r="F124" s="50"/>
      <c r="G124" s="53"/>
      <c r="K124" s="820"/>
      <c r="L124" s="271"/>
      <c r="M124" s="820"/>
      <c r="N124" s="271"/>
      <c r="O124" s="820"/>
      <c r="P124" s="271"/>
      <c r="Q124" s="820"/>
      <c r="R124" s="271"/>
      <c r="S124" s="820"/>
      <c r="T124" s="271"/>
      <c r="U124" s="820"/>
      <c r="V124" s="271"/>
    </row>
    <row r="125" spans="5:22" ht="14.25" customHeight="1">
      <c r="E125" s="50"/>
      <c r="F125" s="50"/>
      <c r="G125" s="53"/>
      <c r="K125" s="820"/>
      <c r="L125" s="271"/>
      <c r="M125" s="820"/>
      <c r="N125" s="271"/>
      <c r="O125" s="820"/>
      <c r="P125" s="271"/>
      <c r="Q125" s="820"/>
      <c r="R125" s="271"/>
      <c r="S125" s="820"/>
      <c r="T125" s="271"/>
      <c r="U125" s="820"/>
      <c r="V125" s="271"/>
    </row>
    <row r="126" spans="5:22" ht="14.25" customHeight="1">
      <c r="E126" s="50"/>
      <c r="F126" s="50"/>
      <c r="G126" s="53"/>
      <c r="K126" s="820"/>
      <c r="L126" s="271"/>
      <c r="M126" s="820"/>
      <c r="N126" s="271"/>
      <c r="O126" s="820"/>
      <c r="P126" s="271"/>
      <c r="Q126" s="820"/>
      <c r="R126" s="271"/>
      <c r="S126" s="820"/>
      <c r="T126" s="271"/>
      <c r="U126" s="820"/>
      <c r="V126" s="271"/>
    </row>
    <row r="127" spans="5:22" ht="14.25" customHeight="1">
      <c r="E127" s="50"/>
      <c r="F127" s="50"/>
      <c r="G127" s="53"/>
      <c r="K127" s="820"/>
      <c r="L127" s="271"/>
      <c r="M127" s="820"/>
      <c r="N127" s="271"/>
      <c r="O127" s="820"/>
      <c r="P127" s="271"/>
      <c r="Q127" s="820"/>
      <c r="R127" s="271"/>
      <c r="S127" s="820"/>
      <c r="T127" s="271"/>
      <c r="U127" s="820"/>
      <c r="V127" s="271"/>
    </row>
    <row r="128" spans="5:22" ht="14.25" customHeight="1">
      <c r="E128" s="50"/>
      <c r="F128" s="50"/>
      <c r="G128" s="53"/>
      <c r="K128" s="820"/>
      <c r="L128" s="271"/>
      <c r="M128" s="820"/>
      <c r="N128" s="271"/>
      <c r="O128" s="820"/>
      <c r="P128" s="271"/>
      <c r="Q128" s="820"/>
      <c r="R128" s="271"/>
      <c r="S128" s="820"/>
      <c r="T128" s="271"/>
      <c r="U128" s="820"/>
      <c r="V128" s="271"/>
    </row>
    <row r="129" spans="5:22" ht="14.25" customHeight="1">
      <c r="E129" s="50"/>
      <c r="F129" s="50"/>
      <c r="G129" s="53"/>
      <c r="K129" s="820"/>
      <c r="L129" s="271"/>
      <c r="M129" s="820"/>
      <c r="N129" s="271"/>
      <c r="O129" s="820"/>
      <c r="P129" s="271"/>
      <c r="Q129" s="820"/>
      <c r="R129" s="271"/>
      <c r="S129" s="820"/>
      <c r="T129" s="271"/>
      <c r="U129" s="820"/>
      <c r="V129" s="271"/>
    </row>
    <row r="130" spans="5:22" ht="14.25" customHeight="1">
      <c r="E130" s="50"/>
      <c r="F130" s="50"/>
      <c r="G130" s="53"/>
      <c r="K130" s="820"/>
      <c r="L130" s="271"/>
      <c r="M130" s="820"/>
      <c r="N130" s="271"/>
      <c r="O130" s="820"/>
      <c r="P130" s="271"/>
      <c r="Q130" s="820"/>
      <c r="R130" s="271"/>
      <c r="S130" s="820"/>
      <c r="T130" s="271"/>
      <c r="U130" s="820"/>
      <c r="V130" s="271"/>
    </row>
    <row r="131" spans="5:22" ht="14.25" customHeight="1">
      <c r="E131" s="50"/>
      <c r="F131" s="50"/>
      <c r="G131" s="53"/>
      <c r="K131" s="820"/>
      <c r="L131" s="271"/>
      <c r="M131" s="820"/>
      <c r="N131" s="271"/>
      <c r="O131" s="820"/>
      <c r="P131" s="271"/>
      <c r="Q131" s="820"/>
      <c r="R131" s="271"/>
      <c r="S131" s="820"/>
      <c r="T131" s="271"/>
      <c r="U131" s="820"/>
      <c r="V131" s="271"/>
    </row>
    <row r="132" spans="5:22" ht="14.25" customHeight="1">
      <c r="E132" s="50"/>
      <c r="F132" s="50"/>
      <c r="G132" s="53"/>
      <c r="K132" s="820"/>
      <c r="L132" s="271"/>
      <c r="M132" s="820"/>
      <c r="N132" s="271"/>
      <c r="O132" s="820"/>
      <c r="P132" s="271"/>
      <c r="Q132" s="820"/>
      <c r="R132" s="271"/>
      <c r="S132" s="820"/>
      <c r="T132" s="271"/>
      <c r="U132" s="820"/>
      <c r="V132" s="271"/>
    </row>
    <row r="133" spans="5:22" ht="14.25" customHeight="1">
      <c r="E133" s="50"/>
      <c r="F133" s="50"/>
      <c r="G133" s="53"/>
      <c r="K133" s="820"/>
      <c r="L133" s="271"/>
      <c r="M133" s="820"/>
      <c r="N133" s="271"/>
      <c r="O133" s="820"/>
      <c r="P133" s="271"/>
      <c r="Q133" s="820"/>
      <c r="R133" s="271"/>
      <c r="S133" s="820"/>
      <c r="T133" s="271"/>
      <c r="U133" s="820"/>
      <c r="V133" s="271"/>
    </row>
    <row r="134" spans="5:22" ht="14.25" customHeight="1">
      <c r="E134" s="50"/>
      <c r="F134" s="50"/>
      <c r="G134" s="53"/>
      <c r="K134" s="820"/>
      <c r="L134" s="271"/>
      <c r="M134" s="820"/>
      <c r="N134" s="271"/>
      <c r="O134" s="820"/>
      <c r="P134" s="271"/>
      <c r="Q134" s="820"/>
      <c r="R134" s="271"/>
      <c r="S134" s="820"/>
      <c r="T134" s="271"/>
      <c r="U134" s="820"/>
      <c r="V134" s="271"/>
    </row>
    <row r="135" spans="5:22" ht="14.25" customHeight="1">
      <c r="E135" s="50"/>
      <c r="F135" s="50"/>
      <c r="G135" s="53"/>
      <c r="K135" s="820"/>
      <c r="L135" s="271"/>
      <c r="M135" s="820"/>
      <c r="N135" s="271"/>
      <c r="O135" s="820"/>
      <c r="P135" s="271"/>
      <c r="Q135" s="820"/>
      <c r="R135" s="271"/>
      <c r="S135" s="820"/>
      <c r="T135" s="271"/>
      <c r="U135" s="820"/>
      <c r="V135" s="271"/>
    </row>
    <row r="136" spans="5:22" ht="14.25" customHeight="1">
      <c r="E136" s="50"/>
      <c r="F136" s="50"/>
      <c r="G136" s="53"/>
      <c r="K136" s="820"/>
      <c r="L136" s="271"/>
      <c r="M136" s="820"/>
      <c r="N136" s="271"/>
      <c r="O136" s="820"/>
      <c r="P136" s="271"/>
      <c r="Q136" s="820"/>
      <c r="R136" s="271"/>
      <c r="S136" s="820"/>
      <c r="T136" s="271"/>
      <c r="U136" s="820"/>
      <c r="V136" s="271"/>
    </row>
    <row r="137" spans="5:22" ht="14.25" customHeight="1">
      <c r="E137" s="50"/>
      <c r="F137" s="50"/>
      <c r="G137" s="53"/>
      <c r="K137" s="820"/>
      <c r="L137" s="271"/>
      <c r="M137" s="820"/>
      <c r="N137" s="271"/>
      <c r="O137" s="820"/>
      <c r="P137" s="271"/>
      <c r="Q137" s="820"/>
      <c r="R137" s="271"/>
      <c r="S137" s="820"/>
      <c r="T137" s="271"/>
      <c r="U137" s="820"/>
      <c r="V137" s="271"/>
    </row>
    <row r="138" spans="5:22" ht="14.25" customHeight="1">
      <c r="E138" s="50"/>
      <c r="F138" s="50"/>
      <c r="G138" s="53"/>
      <c r="K138" s="820"/>
      <c r="L138" s="271"/>
      <c r="M138" s="820"/>
      <c r="N138" s="271"/>
      <c r="O138" s="820"/>
      <c r="P138" s="271"/>
      <c r="Q138" s="820"/>
      <c r="R138" s="271"/>
      <c r="S138" s="820"/>
      <c r="T138" s="271"/>
      <c r="U138" s="820"/>
      <c r="V138" s="271"/>
    </row>
    <row r="139" spans="5:22" ht="14.25" customHeight="1">
      <c r="E139" s="50"/>
      <c r="F139" s="50"/>
      <c r="G139" s="53"/>
      <c r="K139" s="820"/>
      <c r="L139" s="271"/>
      <c r="M139" s="820"/>
      <c r="N139" s="271"/>
      <c r="O139" s="820"/>
      <c r="P139" s="271"/>
      <c r="Q139" s="820"/>
      <c r="R139" s="271"/>
      <c r="S139" s="820"/>
      <c r="T139" s="271"/>
      <c r="U139" s="820"/>
      <c r="V139" s="271"/>
    </row>
    <row r="140" spans="5:22" ht="14.25" customHeight="1">
      <c r="E140" s="50"/>
      <c r="F140" s="50"/>
      <c r="G140" s="53"/>
      <c r="K140" s="820"/>
      <c r="L140" s="271"/>
      <c r="M140" s="820"/>
      <c r="N140" s="271"/>
      <c r="O140" s="820"/>
      <c r="P140" s="271"/>
      <c r="Q140" s="820"/>
      <c r="R140" s="271"/>
      <c r="S140" s="820"/>
      <c r="T140" s="271"/>
      <c r="U140" s="820"/>
      <c r="V140" s="271"/>
    </row>
    <row r="141" spans="5:22" ht="14.25" customHeight="1">
      <c r="E141" s="50"/>
      <c r="F141" s="50"/>
      <c r="G141" s="53"/>
      <c r="K141" s="820"/>
      <c r="L141" s="271"/>
      <c r="M141" s="820"/>
      <c r="N141" s="271"/>
      <c r="O141" s="820"/>
      <c r="P141" s="271"/>
      <c r="Q141" s="820"/>
      <c r="R141" s="271"/>
      <c r="S141" s="820"/>
      <c r="T141" s="271"/>
      <c r="U141" s="820"/>
      <c r="V141" s="271"/>
    </row>
    <row r="142" spans="5:22" ht="14.25" customHeight="1">
      <c r="E142" s="50"/>
      <c r="F142" s="50"/>
      <c r="G142" s="53"/>
      <c r="K142" s="820"/>
      <c r="L142" s="271"/>
      <c r="M142" s="820"/>
      <c r="N142" s="271"/>
      <c r="O142" s="820"/>
      <c r="P142" s="271"/>
      <c r="Q142" s="820"/>
      <c r="R142" s="271"/>
      <c r="S142" s="820"/>
      <c r="T142" s="271"/>
      <c r="U142" s="820"/>
      <c r="V142" s="271"/>
    </row>
    <row r="143" spans="5:22" ht="14.25" customHeight="1">
      <c r="E143" s="50"/>
      <c r="F143" s="50"/>
      <c r="G143" s="53"/>
      <c r="K143" s="820"/>
      <c r="L143" s="271"/>
      <c r="M143" s="820"/>
      <c r="N143" s="271"/>
      <c r="O143" s="820"/>
      <c r="P143" s="271"/>
      <c r="Q143" s="820"/>
      <c r="R143" s="271"/>
      <c r="S143" s="820"/>
      <c r="T143" s="271"/>
      <c r="U143" s="820"/>
      <c r="V143" s="271"/>
    </row>
    <row r="144" spans="5:22" ht="14.25" customHeight="1">
      <c r="E144" s="50"/>
      <c r="F144" s="50"/>
      <c r="G144" s="53"/>
      <c r="K144" s="820"/>
      <c r="L144" s="271"/>
      <c r="M144" s="820"/>
      <c r="N144" s="271"/>
      <c r="O144" s="820"/>
      <c r="P144" s="271"/>
      <c r="Q144" s="820"/>
      <c r="R144" s="271"/>
      <c r="S144" s="820"/>
      <c r="T144" s="271"/>
      <c r="U144" s="820"/>
      <c r="V144" s="271"/>
    </row>
    <row r="145" spans="5:22" ht="14.25" customHeight="1">
      <c r="E145" s="50"/>
      <c r="F145" s="50"/>
      <c r="G145" s="53"/>
      <c r="K145" s="820"/>
      <c r="L145" s="271"/>
      <c r="M145" s="820"/>
      <c r="N145" s="271"/>
      <c r="O145" s="820"/>
      <c r="P145" s="271"/>
      <c r="Q145" s="820"/>
      <c r="R145" s="271"/>
      <c r="S145" s="820"/>
      <c r="T145" s="271"/>
      <c r="U145" s="820"/>
      <c r="V145" s="271"/>
    </row>
    <row r="146" spans="5:22" ht="14.25" customHeight="1">
      <c r="E146" s="50"/>
      <c r="F146" s="50"/>
      <c r="G146" s="53"/>
      <c r="K146" s="820"/>
      <c r="L146" s="271"/>
      <c r="M146" s="820"/>
      <c r="N146" s="271"/>
      <c r="O146" s="820"/>
      <c r="P146" s="271"/>
      <c r="Q146" s="820"/>
      <c r="R146" s="271"/>
      <c r="S146" s="820"/>
      <c r="T146" s="271"/>
      <c r="U146" s="820"/>
      <c r="V146" s="271"/>
    </row>
    <row r="147" spans="5:22" ht="14.25" customHeight="1">
      <c r="E147" s="50"/>
      <c r="F147" s="50"/>
      <c r="G147" s="53"/>
      <c r="K147" s="820"/>
      <c r="L147" s="271"/>
      <c r="M147" s="820"/>
      <c r="N147" s="271"/>
      <c r="O147" s="820"/>
      <c r="P147" s="271"/>
      <c r="Q147" s="820"/>
      <c r="R147" s="271"/>
      <c r="S147" s="820"/>
      <c r="T147" s="271"/>
      <c r="U147" s="820"/>
      <c r="V147" s="271"/>
    </row>
    <row r="148" spans="5:22" ht="14.25" customHeight="1">
      <c r="E148" s="50"/>
      <c r="F148" s="50"/>
      <c r="G148" s="53"/>
      <c r="K148" s="820"/>
      <c r="L148" s="271"/>
      <c r="M148" s="820"/>
      <c r="N148" s="271"/>
      <c r="O148" s="820"/>
      <c r="P148" s="271"/>
      <c r="Q148" s="820"/>
      <c r="R148" s="271"/>
      <c r="S148" s="820"/>
      <c r="T148" s="271"/>
      <c r="U148" s="820"/>
      <c r="V148" s="271"/>
    </row>
    <row r="149" spans="5:22" ht="14.25" customHeight="1">
      <c r="E149" s="50"/>
      <c r="F149" s="50"/>
      <c r="G149" s="53"/>
      <c r="K149" s="820"/>
      <c r="L149" s="271"/>
      <c r="M149" s="820"/>
      <c r="N149" s="271"/>
      <c r="O149" s="820"/>
      <c r="P149" s="271"/>
      <c r="Q149" s="820"/>
      <c r="R149" s="271"/>
      <c r="S149" s="820"/>
      <c r="T149" s="271"/>
      <c r="U149" s="820"/>
      <c r="V149" s="271"/>
    </row>
    <row r="150" spans="5:22" ht="14.25" customHeight="1">
      <c r="E150" s="50"/>
      <c r="F150" s="50"/>
      <c r="G150" s="53"/>
      <c r="K150" s="820"/>
      <c r="L150" s="271"/>
      <c r="M150" s="820"/>
      <c r="N150" s="271"/>
      <c r="O150" s="820"/>
      <c r="P150" s="271"/>
      <c r="Q150" s="820"/>
      <c r="R150" s="271"/>
      <c r="S150" s="820"/>
      <c r="T150" s="271"/>
      <c r="U150" s="820"/>
      <c r="V150" s="271"/>
    </row>
    <row r="151" spans="5:22" ht="14.25" customHeight="1">
      <c r="E151" s="50"/>
      <c r="F151" s="50"/>
      <c r="G151" s="53"/>
      <c r="K151" s="820"/>
      <c r="L151" s="271"/>
      <c r="M151" s="820"/>
      <c r="N151" s="271"/>
      <c r="O151" s="820"/>
      <c r="P151" s="271"/>
      <c r="Q151" s="820"/>
      <c r="R151" s="271"/>
      <c r="S151" s="820"/>
      <c r="T151" s="271"/>
      <c r="U151" s="820"/>
      <c r="V151" s="271"/>
    </row>
    <row r="152" spans="5:22" ht="14.25" customHeight="1">
      <c r="E152" s="50"/>
      <c r="F152" s="50"/>
      <c r="G152" s="53"/>
      <c r="K152" s="820"/>
      <c r="L152" s="271"/>
      <c r="M152" s="820"/>
      <c r="N152" s="271"/>
      <c r="O152" s="820"/>
      <c r="P152" s="271"/>
      <c r="Q152" s="820"/>
      <c r="R152" s="271"/>
      <c r="S152" s="820"/>
      <c r="T152" s="271"/>
      <c r="U152" s="820"/>
      <c r="V152" s="271"/>
    </row>
    <row r="153" spans="5:22" ht="14.25" customHeight="1">
      <c r="E153" s="50"/>
      <c r="F153" s="50"/>
      <c r="G153" s="53"/>
      <c r="K153" s="820"/>
      <c r="L153" s="271"/>
      <c r="M153" s="820"/>
      <c r="N153" s="271"/>
      <c r="O153" s="820"/>
      <c r="P153" s="271"/>
      <c r="Q153" s="820"/>
      <c r="R153" s="271"/>
      <c r="S153" s="820"/>
      <c r="T153" s="271"/>
      <c r="U153" s="820"/>
      <c r="V153" s="271"/>
    </row>
    <row r="154" spans="5:22" ht="14.25" customHeight="1">
      <c r="E154" s="50"/>
      <c r="F154" s="50"/>
      <c r="G154" s="53"/>
      <c r="K154" s="820"/>
      <c r="L154" s="271"/>
      <c r="M154" s="820"/>
      <c r="N154" s="271"/>
      <c r="O154" s="820"/>
      <c r="P154" s="271"/>
      <c r="Q154" s="820"/>
      <c r="R154" s="271"/>
      <c r="S154" s="820"/>
      <c r="T154" s="271"/>
      <c r="U154" s="820"/>
      <c r="V154" s="271"/>
    </row>
    <row r="155" spans="5:22" ht="14.25" customHeight="1">
      <c r="E155" s="50"/>
      <c r="F155" s="50"/>
      <c r="G155" s="53"/>
      <c r="K155" s="820"/>
      <c r="L155" s="271"/>
      <c r="M155" s="820"/>
      <c r="N155" s="271"/>
      <c r="O155" s="820"/>
      <c r="P155" s="271"/>
      <c r="Q155" s="820"/>
      <c r="R155" s="271"/>
      <c r="S155" s="820"/>
      <c r="T155" s="271"/>
      <c r="U155" s="820"/>
      <c r="V155" s="271"/>
    </row>
    <row r="156" spans="5:22" ht="14.25" customHeight="1">
      <c r="E156" s="50"/>
      <c r="F156" s="50"/>
      <c r="G156" s="53"/>
      <c r="K156" s="820"/>
      <c r="L156" s="271"/>
      <c r="M156" s="820"/>
      <c r="N156" s="271"/>
      <c r="O156" s="820"/>
      <c r="P156" s="271"/>
      <c r="Q156" s="820"/>
      <c r="R156" s="271"/>
      <c r="S156" s="820"/>
      <c r="T156" s="271"/>
      <c r="U156" s="820"/>
      <c r="V156" s="271"/>
    </row>
    <row r="157" spans="5:22" ht="14.25" customHeight="1">
      <c r="E157" s="50"/>
      <c r="F157" s="50"/>
      <c r="G157" s="53"/>
      <c r="K157" s="820"/>
      <c r="L157" s="271"/>
      <c r="M157" s="820"/>
      <c r="N157" s="271"/>
      <c r="O157" s="820"/>
      <c r="P157" s="271"/>
      <c r="Q157" s="820"/>
      <c r="R157" s="271"/>
      <c r="S157" s="820"/>
      <c r="T157" s="271"/>
      <c r="U157" s="820"/>
      <c r="V157" s="271"/>
    </row>
    <row r="158" spans="5:22" ht="14.25" customHeight="1">
      <c r="E158" s="50"/>
      <c r="F158" s="50"/>
      <c r="G158" s="53"/>
      <c r="K158" s="820"/>
      <c r="L158" s="271"/>
      <c r="M158" s="820"/>
      <c r="N158" s="271"/>
      <c r="O158" s="820"/>
      <c r="P158" s="271"/>
      <c r="Q158" s="820"/>
      <c r="R158" s="271"/>
      <c r="S158" s="820"/>
      <c r="T158" s="271"/>
      <c r="U158" s="820"/>
      <c r="V158" s="271"/>
    </row>
    <row r="159" spans="5:22" ht="14.25" customHeight="1">
      <c r="E159" s="50"/>
      <c r="F159" s="50"/>
      <c r="G159" s="53"/>
      <c r="K159" s="820"/>
      <c r="L159" s="271"/>
      <c r="M159" s="820"/>
      <c r="N159" s="271"/>
      <c r="O159" s="820"/>
      <c r="P159" s="271"/>
      <c r="Q159" s="820"/>
      <c r="R159" s="271"/>
      <c r="S159" s="820"/>
      <c r="T159" s="271"/>
      <c r="U159" s="820"/>
      <c r="V159" s="271"/>
    </row>
    <row r="160" spans="5:22" ht="14.25" customHeight="1">
      <c r="E160" s="50"/>
      <c r="F160" s="50"/>
      <c r="G160" s="53"/>
      <c r="K160" s="820"/>
      <c r="L160" s="271"/>
      <c r="M160" s="820"/>
      <c r="N160" s="271"/>
      <c r="O160" s="820"/>
      <c r="P160" s="271"/>
      <c r="Q160" s="820"/>
      <c r="R160" s="271"/>
      <c r="S160" s="820"/>
      <c r="T160" s="271"/>
      <c r="U160" s="820"/>
      <c r="V160" s="271"/>
    </row>
    <row r="161" spans="5:22" ht="14.25" customHeight="1">
      <c r="E161" s="50"/>
      <c r="F161" s="50"/>
      <c r="G161" s="53"/>
      <c r="K161" s="820"/>
      <c r="L161" s="271"/>
      <c r="M161" s="820"/>
      <c r="N161" s="271"/>
      <c r="O161" s="820"/>
      <c r="P161" s="271"/>
      <c r="Q161" s="820"/>
      <c r="R161" s="271"/>
      <c r="S161" s="820"/>
      <c r="T161" s="271"/>
      <c r="U161" s="820"/>
      <c r="V161" s="271"/>
    </row>
    <row r="162" spans="5:22" ht="14.25" customHeight="1">
      <c r="E162" s="50"/>
      <c r="F162" s="50"/>
      <c r="G162" s="53"/>
      <c r="K162" s="820"/>
      <c r="L162" s="271"/>
      <c r="M162" s="820"/>
      <c r="N162" s="271"/>
      <c r="O162" s="820"/>
      <c r="P162" s="271"/>
      <c r="Q162" s="820"/>
      <c r="R162" s="271"/>
      <c r="S162" s="820"/>
      <c r="T162" s="271"/>
      <c r="U162" s="820"/>
      <c r="V162" s="271"/>
    </row>
    <row r="163" spans="5:22" ht="14.25" customHeight="1">
      <c r="E163" s="50"/>
      <c r="F163" s="50"/>
      <c r="G163" s="53"/>
      <c r="K163" s="820"/>
      <c r="L163" s="271"/>
      <c r="M163" s="820"/>
      <c r="N163" s="271"/>
      <c r="O163" s="820"/>
      <c r="P163" s="271"/>
      <c r="Q163" s="820"/>
      <c r="R163" s="271"/>
      <c r="S163" s="820"/>
      <c r="T163" s="271"/>
      <c r="U163" s="820"/>
      <c r="V163" s="271"/>
    </row>
    <row r="164" spans="5:22" ht="14.25" customHeight="1">
      <c r="E164" s="50"/>
      <c r="F164" s="50"/>
      <c r="G164" s="53"/>
      <c r="K164" s="820"/>
      <c r="L164" s="271"/>
      <c r="M164" s="820"/>
      <c r="N164" s="271"/>
      <c r="O164" s="820"/>
      <c r="P164" s="271"/>
      <c r="Q164" s="820"/>
      <c r="R164" s="271"/>
      <c r="S164" s="820"/>
      <c r="T164" s="271"/>
      <c r="U164" s="820"/>
      <c r="V164" s="271"/>
    </row>
    <row r="165" spans="5:22" ht="14.25" customHeight="1">
      <c r="E165" s="50"/>
      <c r="F165" s="50"/>
      <c r="G165" s="53"/>
      <c r="K165" s="820"/>
      <c r="L165" s="271"/>
      <c r="M165" s="820"/>
      <c r="N165" s="271"/>
      <c r="O165" s="820"/>
      <c r="P165" s="271"/>
      <c r="Q165" s="820"/>
      <c r="R165" s="271"/>
      <c r="S165" s="820"/>
      <c r="T165" s="271"/>
      <c r="U165" s="820"/>
      <c r="V165" s="271"/>
    </row>
    <row r="166" spans="5:22" ht="14.25" customHeight="1">
      <c r="E166" s="50"/>
      <c r="F166" s="50"/>
      <c r="G166" s="53"/>
      <c r="K166" s="820"/>
      <c r="L166" s="271"/>
      <c r="M166" s="820"/>
      <c r="N166" s="271"/>
      <c r="O166" s="820"/>
      <c r="P166" s="271"/>
      <c r="Q166" s="820"/>
      <c r="R166" s="271"/>
      <c r="S166" s="820"/>
      <c r="T166" s="271"/>
      <c r="U166" s="820"/>
      <c r="V166" s="271"/>
    </row>
    <row r="167" spans="5:22" ht="14.25" customHeight="1">
      <c r="E167" s="50"/>
      <c r="F167" s="50"/>
      <c r="G167" s="53"/>
      <c r="K167" s="820"/>
      <c r="L167" s="271"/>
      <c r="M167" s="820"/>
      <c r="N167" s="271"/>
      <c r="O167" s="820"/>
      <c r="P167" s="271"/>
      <c r="Q167" s="820"/>
      <c r="R167" s="271"/>
      <c r="S167" s="820"/>
      <c r="T167" s="271"/>
      <c r="U167" s="820"/>
      <c r="V167" s="271"/>
    </row>
    <row r="168" spans="5:22" ht="14.25" customHeight="1">
      <c r="E168" s="50"/>
      <c r="F168" s="50"/>
      <c r="G168" s="53"/>
      <c r="K168" s="820"/>
      <c r="L168" s="271"/>
      <c r="M168" s="820"/>
      <c r="N168" s="271"/>
      <c r="O168" s="820"/>
      <c r="P168" s="271"/>
      <c r="Q168" s="820"/>
      <c r="R168" s="271"/>
      <c r="S168" s="820"/>
      <c r="T168" s="271"/>
      <c r="U168" s="820"/>
      <c r="V168" s="271"/>
    </row>
    <row r="169" spans="5:22" ht="14.25" customHeight="1">
      <c r="E169" s="50"/>
      <c r="F169" s="50"/>
      <c r="G169" s="53"/>
      <c r="K169" s="820"/>
      <c r="L169" s="271"/>
      <c r="M169" s="820"/>
      <c r="N169" s="271"/>
      <c r="O169" s="820"/>
      <c r="P169" s="271"/>
      <c r="Q169" s="820"/>
      <c r="R169" s="271"/>
      <c r="S169" s="820"/>
      <c r="T169" s="271"/>
      <c r="U169" s="820"/>
      <c r="V169" s="271"/>
    </row>
    <row r="170" spans="5:22" ht="14.25" customHeight="1">
      <c r="E170" s="50"/>
      <c r="F170" s="50"/>
      <c r="G170" s="53"/>
      <c r="K170" s="820"/>
      <c r="L170" s="271"/>
      <c r="M170" s="820"/>
      <c r="N170" s="271"/>
      <c r="O170" s="820"/>
      <c r="P170" s="271"/>
      <c r="Q170" s="820"/>
      <c r="R170" s="271"/>
      <c r="S170" s="820"/>
      <c r="T170" s="271"/>
      <c r="U170" s="820"/>
      <c r="V170" s="271"/>
    </row>
    <row r="171" spans="5:22" ht="14.25" customHeight="1">
      <c r="E171" s="50"/>
      <c r="F171" s="50"/>
      <c r="G171" s="53"/>
      <c r="K171" s="820"/>
      <c r="L171" s="271"/>
      <c r="M171" s="820"/>
      <c r="N171" s="271"/>
      <c r="O171" s="820"/>
      <c r="P171" s="271"/>
      <c r="Q171" s="820"/>
      <c r="R171" s="271"/>
      <c r="S171" s="820"/>
      <c r="T171" s="271"/>
      <c r="U171" s="820"/>
      <c r="V171" s="271"/>
    </row>
    <row r="172" spans="5:22" ht="14.25" customHeight="1">
      <c r="E172" s="50"/>
      <c r="F172" s="50"/>
      <c r="G172" s="53"/>
      <c r="K172" s="820"/>
      <c r="L172" s="271"/>
      <c r="M172" s="820"/>
      <c r="N172" s="271"/>
      <c r="O172" s="820"/>
      <c r="P172" s="271"/>
      <c r="Q172" s="820"/>
      <c r="R172" s="271"/>
      <c r="S172" s="820"/>
      <c r="T172" s="271"/>
      <c r="U172" s="820"/>
      <c r="V172" s="271"/>
    </row>
    <row r="173" spans="5:22" ht="14.25" customHeight="1">
      <c r="E173" s="50"/>
      <c r="F173" s="50"/>
      <c r="G173" s="53"/>
      <c r="K173" s="820"/>
      <c r="L173" s="271"/>
      <c r="M173" s="820"/>
      <c r="N173" s="271"/>
      <c r="O173" s="820"/>
      <c r="P173" s="271"/>
      <c r="Q173" s="820"/>
      <c r="R173" s="271"/>
      <c r="S173" s="820"/>
      <c r="T173" s="271"/>
      <c r="U173" s="820"/>
      <c r="V173" s="271"/>
    </row>
    <row r="174" spans="5:22" ht="14.25" customHeight="1">
      <c r="E174" s="50"/>
      <c r="F174" s="50"/>
      <c r="G174" s="53"/>
      <c r="K174" s="820"/>
      <c r="L174" s="271"/>
      <c r="M174" s="820"/>
      <c r="N174" s="271"/>
      <c r="O174" s="820"/>
      <c r="P174" s="271"/>
      <c r="Q174" s="820"/>
      <c r="R174" s="271"/>
      <c r="S174" s="820"/>
      <c r="T174" s="271"/>
      <c r="U174" s="820"/>
      <c r="V174" s="271"/>
    </row>
    <row r="175" spans="5:22" s="417" customFormat="1" ht="14.25" customHeight="1">
      <c r="E175" s="52"/>
      <c r="F175" s="52"/>
      <c r="G175" s="54"/>
      <c r="K175" s="52"/>
      <c r="L175" s="418"/>
      <c r="M175" s="52"/>
      <c r="N175" s="418"/>
      <c r="O175" s="52"/>
      <c r="P175" s="418"/>
      <c r="Q175" s="52"/>
      <c r="R175" s="418"/>
      <c r="S175" s="52"/>
      <c r="T175" s="418"/>
      <c r="U175" s="52"/>
      <c r="V175" s="418"/>
    </row>
    <row r="176" spans="5:22" ht="14.25" customHeight="1">
      <c r="E176" s="50"/>
      <c r="F176" s="50"/>
      <c r="G176" s="53"/>
      <c r="K176" s="820"/>
      <c r="L176" s="271"/>
      <c r="M176" s="820"/>
      <c r="N176" s="271"/>
      <c r="O176" s="820"/>
      <c r="P176" s="271"/>
      <c r="Q176" s="820"/>
      <c r="R176" s="271"/>
      <c r="S176" s="820"/>
      <c r="T176" s="271"/>
      <c r="U176" s="820"/>
      <c r="V176" s="271"/>
    </row>
  </sheetData>
  <sheetProtection algorithmName="SHA-512" hashValue="KO17AuwFcS3RzWRxGgHc5sCVohQ1qw0Orn0UNTrTKxdb4fyut5r/LoB+RRWS2vLRfhMt8PzIkE/AsgZcJRwOCg==" saltValue="9AhZEwbAGQleDYSnwIWsIA==" spinCount="100000" sheet="1" objects="1" scenarios="1"/>
  <mergeCells count="356">
    <mergeCell ref="A1:C1"/>
    <mergeCell ref="F62:G62"/>
    <mergeCell ref="J59:L59"/>
    <mergeCell ref="M59:O59"/>
    <mergeCell ref="P59:R59"/>
    <mergeCell ref="S59:U59"/>
    <mergeCell ref="V59:X59"/>
    <mergeCell ref="Y59:AA59"/>
    <mergeCell ref="J58:L58"/>
    <mergeCell ref="M58:O58"/>
    <mergeCell ref="P58:R58"/>
    <mergeCell ref="S58:U58"/>
    <mergeCell ref="V58:X58"/>
    <mergeCell ref="Y58:AA58"/>
    <mergeCell ref="J57:L57"/>
    <mergeCell ref="M57:O57"/>
    <mergeCell ref="P57:R57"/>
    <mergeCell ref="S57:U57"/>
    <mergeCell ref="V57:X57"/>
    <mergeCell ref="Y57:AA57"/>
    <mergeCell ref="J54:L54"/>
    <mergeCell ref="M54:O54"/>
    <mergeCell ref="P54:R54"/>
    <mergeCell ref="J56:L56"/>
    <mergeCell ref="M56:O56"/>
    <mergeCell ref="P56:R56"/>
    <mergeCell ref="S56:U56"/>
    <mergeCell ref="V56:X56"/>
    <mergeCell ref="Y56:AA56"/>
    <mergeCell ref="J53:L53"/>
    <mergeCell ref="M53:O53"/>
    <mergeCell ref="P53:R53"/>
    <mergeCell ref="S53:U53"/>
    <mergeCell ref="V53:X53"/>
    <mergeCell ref="Y53:AA53"/>
    <mergeCell ref="S54:U54"/>
    <mergeCell ref="V54:X54"/>
    <mergeCell ref="Y54:AA54"/>
    <mergeCell ref="J55:L55"/>
    <mergeCell ref="M55:O55"/>
    <mergeCell ref="P55:R55"/>
    <mergeCell ref="S55:U55"/>
    <mergeCell ref="V55:X55"/>
    <mergeCell ref="Y55:AA55"/>
    <mergeCell ref="J51:L51"/>
    <mergeCell ref="M51:O51"/>
    <mergeCell ref="P51:R51"/>
    <mergeCell ref="S51:U51"/>
    <mergeCell ref="V51:X51"/>
    <mergeCell ref="Y51:AA51"/>
    <mergeCell ref="J52:L52"/>
    <mergeCell ref="M52:O52"/>
    <mergeCell ref="P52:R52"/>
    <mergeCell ref="S52:U52"/>
    <mergeCell ref="V52:X52"/>
    <mergeCell ref="Y52:AA52"/>
    <mergeCell ref="J46:L46"/>
    <mergeCell ref="M46:O46"/>
    <mergeCell ref="P46:R46"/>
    <mergeCell ref="S46:U46"/>
    <mergeCell ref="V46:X46"/>
    <mergeCell ref="Y46:AA46"/>
    <mergeCell ref="J50:L50"/>
    <mergeCell ref="M50:O50"/>
    <mergeCell ref="P50:R50"/>
    <mergeCell ref="S50:U50"/>
    <mergeCell ref="V50:X50"/>
    <mergeCell ref="Y50:AA50"/>
    <mergeCell ref="J48:L48"/>
    <mergeCell ref="M48:O48"/>
    <mergeCell ref="P48:R48"/>
    <mergeCell ref="S48:U48"/>
    <mergeCell ref="V48:X48"/>
    <mergeCell ref="Y48:AA48"/>
    <mergeCell ref="J36:L36"/>
    <mergeCell ref="M36:O36"/>
    <mergeCell ref="P36:R36"/>
    <mergeCell ref="S36:U36"/>
    <mergeCell ref="V36:X36"/>
    <mergeCell ref="Y36:AA36"/>
    <mergeCell ref="J45:L45"/>
    <mergeCell ref="M45:O45"/>
    <mergeCell ref="P45:R45"/>
    <mergeCell ref="S45:U45"/>
    <mergeCell ref="V45:X45"/>
    <mergeCell ref="Y45:AA45"/>
    <mergeCell ref="J43:L43"/>
    <mergeCell ref="M43:O43"/>
    <mergeCell ref="P43:R43"/>
    <mergeCell ref="S43:U43"/>
    <mergeCell ref="V43:X43"/>
    <mergeCell ref="Y43:AA43"/>
    <mergeCell ref="J44:L44"/>
    <mergeCell ref="M44:O44"/>
    <mergeCell ref="P44:R44"/>
    <mergeCell ref="S44:U44"/>
    <mergeCell ref="V44:X44"/>
    <mergeCell ref="Y44:AA44"/>
    <mergeCell ref="J34:L34"/>
    <mergeCell ref="M34:O34"/>
    <mergeCell ref="P34:R34"/>
    <mergeCell ref="S34:U34"/>
    <mergeCell ref="V34:X34"/>
    <mergeCell ref="Y34:AA34"/>
    <mergeCell ref="J35:L35"/>
    <mergeCell ref="M35:O35"/>
    <mergeCell ref="P35:R35"/>
    <mergeCell ref="S35:U35"/>
    <mergeCell ref="V35:X35"/>
    <mergeCell ref="Y35:AA35"/>
    <mergeCell ref="J33:L33"/>
    <mergeCell ref="M33:O33"/>
    <mergeCell ref="P33:R33"/>
    <mergeCell ref="S33:U33"/>
    <mergeCell ref="V33:X33"/>
    <mergeCell ref="Y33:AA33"/>
    <mergeCell ref="J32:L32"/>
    <mergeCell ref="M32:O32"/>
    <mergeCell ref="P32:R32"/>
    <mergeCell ref="S32:U32"/>
    <mergeCell ref="V32:X32"/>
    <mergeCell ref="Y32:AA32"/>
    <mergeCell ref="J31:L31"/>
    <mergeCell ref="M31:O31"/>
    <mergeCell ref="P31:R31"/>
    <mergeCell ref="S31:U31"/>
    <mergeCell ref="V31:X31"/>
    <mergeCell ref="Y31:AA31"/>
    <mergeCell ref="J30:L30"/>
    <mergeCell ref="M30:O30"/>
    <mergeCell ref="P30:R30"/>
    <mergeCell ref="S30:U30"/>
    <mergeCell ref="V30:X30"/>
    <mergeCell ref="Y30:AA30"/>
    <mergeCell ref="J29:L29"/>
    <mergeCell ref="M29:O29"/>
    <mergeCell ref="P29:R29"/>
    <mergeCell ref="S29:U29"/>
    <mergeCell ref="V29:X29"/>
    <mergeCell ref="Y29:AA29"/>
    <mergeCell ref="J28:L28"/>
    <mergeCell ref="M28:O28"/>
    <mergeCell ref="P28:R28"/>
    <mergeCell ref="S28:U28"/>
    <mergeCell ref="V28:X28"/>
    <mergeCell ref="Y28:AA28"/>
    <mergeCell ref="J27:L27"/>
    <mergeCell ref="M27:O27"/>
    <mergeCell ref="P27:R27"/>
    <mergeCell ref="S27:U27"/>
    <mergeCell ref="V27:X27"/>
    <mergeCell ref="Y27:AA27"/>
    <mergeCell ref="J26:L26"/>
    <mergeCell ref="M26:O26"/>
    <mergeCell ref="P26:R26"/>
    <mergeCell ref="S26:U26"/>
    <mergeCell ref="V26:X26"/>
    <mergeCell ref="Y26:AA26"/>
    <mergeCell ref="J25:L25"/>
    <mergeCell ref="M25:O25"/>
    <mergeCell ref="P25:R25"/>
    <mergeCell ref="S25:U25"/>
    <mergeCell ref="V25:X25"/>
    <mergeCell ref="Y25:AA25"/>
    <mergeCell ref="J24:L24"/>
    <mergeCell ref="M24:O24"/>
    <mergeCell ref="P24:R24"/>
    <mergeCell ref="S24:U24"/>
    <mergeCell ref="V24:X24"/>
    <mergeCell ref="Y24:AA24"/>
    <mergeCell ref="J23:L23"/>
    <mergeCell ref="M23:O23"/>
    <mergeCell ref="P23:R23"/>
    <mergeCell ref="S23:U23"/>
    <mergeCell ref="V23:X23"/>
    <mergeCell ref="Y23:AA23"/>
    <mergeCell ref="J22:L22"/>
    <mergeCell ref="M22:O22"/>
    <mergeCell ref="P22:R22"/>
    <mergeCell ref="S22:U22"/>
    <mergeCell ref="V22:X22"/>
    <mergeCell ref="Y22:AA22"/>
    <mergeCell ref="J21:L21"/>
    <mergeCell ref="M21:O21"/>
    <mergeCell ref="P21:R21"/>
    <mergeCell ref="S21:U21"/>
    <mergeCell ref="V21:X21"/>
    <mergeCell ref="Y21:AA21"/>
    <mergeCell ref="J20:L20"/>
    <mergeCell ref="M20:O20"/>
    <mergeCell ref="P20:R20"/>
    <mergeCell ref="S20:U20"/>
    <mergeCell ref="V20:X20"/>
    <mergeCell ref="Y20:AA20"/>
    <mergeCell ref="J19:L19"/>
    <mergeCell ref="M19:O19"/>
    <mergeCell ref="P19:R19"/>
    <mergeCell ref="S19:U19"/>
    <mergeCell ref="V19:X19"/>
    <mergeCell ref="Y19:AA19"/>
    <mergeCell ref="J18:L18"/>
    <mergeCell ref="M18:O18"/>
    <mergeCell ref="P18:R18"/>
    <mergeCell ref="S18:U18"/>
    <mergeCell ref="V18:X18"/>
    <mergeCell ref="Y18:AA18"/>
    <mergeCell ref="J17:L17"/>
    <mergeCell ref="M17:O17"/>
    <mergeCell ref="P17:R17"/>
    <mergeCell ref="S17:U17"/>
    <mergeCell ref="V17:X17"/>
    <mergeCell ref="Y17:AA17"/>
    <mergeCell ref="J16:L16"/>
    <mergeCell ref="M16:O16"/>
    <mergeCell ref="P16:R16"/>
    <mergeCell ref="S16:U16"/>
    <mergeCell ref="V16:X16"/>
    <mergeCell ref="Y16:AA16"/>
    <mergeCell ref="J15:L15"/>
    <mergeCell ref="M15:O15"/>
    <mergeCell ref="P15:R15"/>
    <mergeCell ref="S15:U15"/>
    <mergeCell ref="V15:X15"/>
    <mergeCell ref="Y15:AA15"/>
    <mergeCell ref="J14:L14"/>
    <mergeCell ref="M14:O14"/>
    <mergeCell ref="P14:R14"/>
    <mergeCell ref="S14:U14"/>
    <mergeCell ref="V14:X14"/>
    <mergeCell ref="Y14:AA14"/>
    <mergeCell ref="J13:L13"/>
    <mergeCell ref="M13:O13"/>
    <mergeCell ref="P13:R13"/>
    <mergeCell ref="S13:U13"/>
    <mergeCell ref="V13:X13"/>
    <mergeCell ref="Y13:AA13"/>
    <mergeCell ref="J12:L12"/>
    <mergeCell ref="M12:O12"/>
    <mergeCell ref="P12:R12"/>
    <mergeCell ref="S12:U12"/>
    <mergeCell ref="V12:X12"/>
    <mergeCell ref="Y12:AA12"/>
    <mergeCell ref="J11:L11"/>
    <mergeCell ref="M11:O11"/>
    <mergeCell ref="P11:R11"/>
    <mergeCell ref="S11:U11"/>
    <mergeCell ref="V11:X11"/>
    <mergeCell ref="Y11:AA11"/>
    <mergeCell ref="J10:L10"/>
    <mergeCell ref="M10:O10"/>
    <mergeCell ref="P10:R10"/>
    <mergeCell ref="S10:U10"/>
    <mergeCell ref="V10:X10"/>
    <mergeCell ref="Y10:AA10"/>
    <mergeCell ref="J9:L9"/>
    <mergeCell ref="M9:O9"/>
    <mergeCell ref="P9:R9"/>
    <mergeCell ref="S9:U9"/>
    <mergeCell ref="V9:X9"/>
    <mergeCell ref="Y9:AA9"/>
    <mergeCell ref="J8:L8"/>
    <mergeCell ref="M8:O8"/>
    <mergeCell ref="P8:R8"/>
    <mergeCell ref="S8:U8"/>
    <mergeCell ref="V8:X8"/>
    <mergeCell ref="Y8:AA8"/>
    <mergeCell ref="J7:L7"/>
    <mergeCell ref="M7:O7"/>
    <mergeCell ref="P7:R7"/>
    <mergeCell ref="S7:U7"/>
    <mergeCell ref="V7:X7"/>
    <mergeCell ref="Y7:AA7"/>
    <mergeCell ref="J6:L6"/>
    <mergeCell ref="M6:O6"/>
    <mergeCell ref="P6:R6"/>
    <mergeCell ref="S6:U6"/>
    <mergeCell ref="V6:X6"/>
    <mergeCell ref="Y6:AA6"/>
    <mergeCell ref="J5:L5"/>
    <mergeCell ref="M5:O5"/>
    <mergeCell ref="P5:R5"/>
    <mergeCell ref="S5:U5"/>
    <mergeCell ref="V5:X5"/>
    <mergeCell ref="Y5:AA5"/>
    <mergeCell ref="J3:L3"/>
    <mergeCell ref="M3:O3"/>
    <mergeCell ref="P3:R3"/>
    <mergeCell ref="S3:U3"/>
    <mergeCell ref="V3:X3"/>
    <mergeCell ref="Y3:AA3"/>
    <mergeCell ref="J4:L4"/>
    <mergeCell ref="M4:O4"/>
    <mergeCell ref="P4:R4"/>
    <mergeCell ref="S4:U4"/>
    <mergeCell ref="V4:X4"/>
    <mergeCell ref="Y4:AA4"/>
    <mergeCell ref="J1:L1"/>
    <mergeCell ref="M1:O1"/>
    <mergeCell ref="P1:R1"/>
    <mergeCell ref="S1:U1"/>
    <mergeCell ref="V1:X1"/>
    <mergeCell ref="Y1:AA1"/>
    <mergeCell ref="J2:L2"/>
    <mergeCell ref="M2:O2"/>
    <mergeCell ref="P2:R2"/>
    <mergeCell ref="S2:U2"/>
    <mergeCell ref="V2:X2"/>
    <mergeCell ref="Y2:AA2"/>
    <mergeCell ref="J37:L37"/>
    <mergeCell ref="M37:O37"/>
    <mergeCell ref="P37:R37"/>
    <mergeCell ref="S37:U37"/>
    <mergeCell ref="V37:X37"/>
    <mergeCell ref="Y37:AA37"/>
    <mergeCell ref="J38:L38"/>
    <mergeCell ref="M38:O38"/>
    <mergeCell ref="P38:R38"/>
    <mergeCell ref="S38:U38"/>
    <mergeCell ref="V38:X38"/>
    <mergeCell ref="Y38:AA38"/>
    <mergeCell ref="J39:L39"/>
    <mergeCell ref="M39:O39"/>
    <mergeCell ref="P39:R39"/>
    <mergeCell ref="S39:U39"/>
    <mergeCell ref="V39:X39"/>
    <mergeCell ref="Y39:AA39"/>
    <mergeCell ref="J40:L40"/>
    <mergeCell ref="M40:O40"/>
    <mergeCell ref="P40:R40"/>
    <mergeCell ref="S40:U40"/>
    <mergeCell ref="V40:X40"/>
    <mergeCell ref="Y40:AA40"/>
    <mergeCell ref="J41:L41"/>
    <mergeCell ref="M41:O41"/>
    <mergeCell ref="P41:R41"/>
    <mergeCell ref="S41:U41"/>
    <mergeCell ref="V41:X41"/>
    <mergeCell ref="Y41:AA41"/>
    <mergeCell ref="J49:L49"/>
    <mergeCell ref="M49:O49"/>
    <mergeCell ref="P49:R49"/>
    <mergeCell ref="S49:U49"/>
    <mergeCell ref="V49:X49"/>
    <mergeCell ref="Y49:AA49"/>
    <mergeCell ref="J42:L42"/>
    <mergeCell ref="M42:O42"/>
    <mergeCell ref="P42:R42"/>
    <mergeCell ref="S42:U42"/>
    <mergeCell ref="V42:X42"/>
    <mergeCell ref="Y42:AA42"/>
    <mergeCell ref="J47:L47"/>
    <mergeCell ref="M47:O47"/>
    <mergeCell ref="P47:R47"/>
    <mergeCell ref="S47:U47"/>
    <mergeCell ref="V47:X47"/>
    <mergeCell ref="Y47:AA47"/>
  </mergeCells>
  <pageMargins left="0.7" right="0.7" top="0.78740157499999996" bottom="0.78740157499999996" header="0.3" footer="0.3"/>
  <pageSetup paperSize="9" orientation="portrait" horizontalDpi="300" verticalDpi="0" r:id="rId1"/>
  <ignoredErrors>
    <ignoredError sqref="P6:P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D7B3C-21D4-40D0-B18A-606146507DFB}">
  <sheetPr>
    <tabColor theme="4" tint="0.79998168889431442"/>
  </sheetPr>
  <dimension ref="A1:AB125"/>
  <sheetViews>
    <sheetView workbookViewId="0">
      <pane ySplit="1" topLeftCell="A2" activePane="bottomLeft" state="frozen"/>
      <selection pane="bottomLeft" sqref="A1:C1"/>
    </sheetView>
  </sheetViews>
  <sheetFormatPr baseColWidth="10" defaultColWidth="11.42578125" defaultRowHeight="14.25" customHeight="1"/>
  <cols>
    <col min="1" max="1" width="20.7109375" style="5" bestFit="1" customWidth="1"/>
    <col min="2" max="2" width="31.7109375" style="5" bestFit="1" customWidth="1"/>
    <col min="3" max="3" width="7.85546875" style="5" customWidth="1"/>
    <col min="4" max="4" width="7.7109375" style="5" bestFit="1" customWidth="1"/>
    <col min="5" max="5" width="15.28515625" style="5" customWidth="1"/>
    <col min="6" max="6" width="20.5703125" style="5" customWidth="1"/>
    <col min="7" max="7" width="3.5703125" style="6" bestFit="1" customWidth="1"/>
    <col min="8" max="8" width="15" style="5" bestFit="1" customWidth="1"/>
    <col min="9" max="9" width="1.5703125" style="5" customWidth="1"/>
    <col min="10" max="10" width="14.7109375" style="5" customWidth="1"/>
    <col min="11" max="11" width="18.7109375" style="5" customWidth="1"/>
    <col min="12" max="12" width="11.7109375" style="5" customWidth="1"/>
    <col min="13" max="13" width="14.7109375" style="5" customWidth="1"/>
    <col min="14" max="14" width="18.7109375" style="5" customWidth="1"/>
    <col min="15" max="15" width="11.7109375" style="5" customWidth="1"/>
    <col min="16" max="16" width="14.7109375" style="5" customWidth="1"/>
    <col min="17" max="17" width="18.7109375" style="5" customWidth="1"/>
    <col min="18" max="18" width="11.7109375" style="5" customWidth="1"/>
    <col min="19" max="19" width="14.7109375" style="5" customWidth="1"/>
    <col min="20" max="20" width="18.7109375" style="5" customWidth="1"/>
    <col min="21" max="21" width="11.7109375" style="5" customWidth="1"/>
    <col min="22" max="22" width="14.7109375" style="5" customWidth="1"/>
    <col min="23" max="23" width="18.7109375" style="5" customWidth="1"/>
    <col min="24" max="24" width="11.7109375" style="5" customWidth="1"/>
    <col min="25" max="25" width="14.7109375" style="5" customWidth="1"/>
    <col min="26" max="26" width="18.7109375" style="5" customWidth="1"/>
    <col min="27" max="27" width="11.7109375" style="5" customWidth="1"/>
    <col min="28" max="16384" width="11.42578125" style="5"/>
  </cols>
  <sheetData>
    <row r="1" spans="1:28" ht="14.25" customHeight="1">
      <c r="A1" s="1025" t="s">
        <v>56</v>
      </c>
      <c r="B1" s="1025"/>
      <c r="C1" s="1025"/>
      <c r="J1" s="1046" t="s">
        <v>46</v>
      </c>
      <c r="K1" s="1047"/>
      <c r="L1" s="1047"/>
      <c r="M1" s="1046" t="s">
        <v>498</v>
      </c>
      <c r="N1" s="1047"/>
      <c r="O1" s="1047"/>
      <c r="P1" s="1046" t="s">
        <v>499</v>
      </c>
      <c r="Q1" s="1047"/>
      <c r="R1" s="1047"/>
      <c r="S1" s="1046" t="s">
        <v>500</v>
      </c>
      <c r="T1" s="1047"/>
      <c r="U1" s="1047"/>
      <c r="V1" s="1046" t="s">
        <v>501</v>
      </c>
      <c r="W1" s="1047"/>
      <c r="X1" s="1047"/>
      <c r="Y1" s="1046" t="s">
        <v>502</v>
      </c>
      <c r="Z1" s="1047"/>
      <c r="AA1" s="1048"/>
      <c r="AB1" s="10"/>
    </row>
    <row r="2" spans="1:28" ht="9" customHeight="1">
      <c r="E2" s="55"/>
      <c r="F2" s="50"/>
      <c r="G2" s="53"/>
      <c r="H2" s="6"/>
      <c r="J2" s="1111"/>
      <c r="K2" s="975"/>
      <c r="L2" s="1112"/>
      <c r="M2" s="1111"/>
      <c r="N2" s="975"/>
      <c r="O2" s="975"/>
      <c r="P2" s="1111"/>
      <c r="Q2" s="975"/>
      <c r="R2" s="975"/>
      <c r="S2" s="1111"/>
      <c r="T2" s="975"/>
      <c r="U2" s="975"/>
      <c r="V2" s="1111"/>
      <c r="W2" s="975"/>
      <c r="X2" s="975"/>
      <c r="Y2" s="1111"/>
      <c r="Z2" s="975"/>
      <c r="AA2" s="1112"/>
      <c r="AB2" s="10"/>
    </row>
    <row r="3" spans="1:28" ht="14.25" customHeight="1">
      <c r="F3" s="420" t="s">
        <v>55</v>
      </c>
      <c r="G3" s="421"/>
      <c r="H3" s="889" t="s">
        <v>5</v>
      </c>
      <c r="I3" s="889"/>
      <c r="J3" s="1052">
        <f>IF(Tunneldaten!E12="","",Tunneldaten!E14)</f>
        <v>0</v>
      </c>
      <c r="K3" s="1053"/>
      <c r="L3" s="1053"/>
      <c r="M3" s="1052" t="str">
        <f>IF(Tunneldaten!F12="","",Tunneldaten!F14)</f>
        <v/>
      </c>
      <c r="N3" s="1053"/>
      <c r="O3" s="1053"/>
      <c r="P3" s="1052" t="str">
        <f>IF(Tunneldaten!G12="","",Tunneldaten!G14)</f>
        <v/>
      </c>
      <c r="Q3" s="1053"/>
      <c r="R3" s="1053"/>
      <c r="S3" s="1052" t="str">
        <f>IF(Tunneldaten!H12="","",Tunneldaten!H14)</f>
        <v/>
      </c>
      <c r="T3" s="1053"/>
      <c r="U3" s="1053"/>
      <c r="V3" s="1052" t="str">
        <f>IF(Tunneldaten!I12="","",Tunneldaten!I14)</f>
        <v/>
      </c>
      <c r="W3" s="1053"/>
      <c r="X3" s="1053"/>
      <c r="Y3" s="1052" t="str">
        <f>IF(Tunneldaten!J12="","",Tunneldaten!J14)</f>
        <v/>
      </c>
      <c r="Z3" s="1053"/>
      <c r="AA3" s="1054"/>
      <c r="AB3" s="10"/>
    </row>
    <row r="4" spans="1:28" ht="14.25" customHeight="1">
      <c r="F4" s="420" t="s">
        <v>503</v>
      </c>
      <c r="G4" s="421"/>
      <c r="H4" s="889" t="s">
        <v>5</v>
      </c>
      <c r="I4" s="889"/>
      <c r="J4" s="1099" t="str">
        <f>IF(J3="SM",Tunneldaten!$E$15,"")</f>
        <v/>
      </c>
      <c r="K4" s="1100"/>
      <c r="L4" s="1101"/>
      <c r="M4" s="1099" t="str">
        <f>IF(M3="SM",Tunneldaten!$F$15,"")</f>
        <v/>
      </c>
      <c r="N4" s="1100"/>
      <c r="O4" s="1101"/>
      <c r="P4" s="1099" t="str">
        <f>IF(P3="SM",Tunneldaten!$G$15,"")</f>
        <v/>
      </c>
      <c r="Q4" s="1100"/>
      <c r="R4" s="1101"/>
      <c r="S4" s="1099" t="str">
        <f>IF(S3="SM",Tunneldaten!$H$15,"")</f>
        <v/>
      </c>
      <c r="T4" s="1100"/>
      <c r="U4" s="1101"/>
      <c r="V4" s="1099" t="str">
        <f>IF(V3="SM",Tunneldaten!$I$15,"")</f>
        <v/>
      </c>
      <c r="W4" s="1100"/>
      <c r="X4" s="1101"/>
      <c r="Y4" s="1099" t="str">
        <f>IF(Y3="SM",Tunneldaten!$J$15,"")</f>
        <v/>
      </c>
      <c r="Z4" s="1100"/>
      <c r="AA4" s="1101"/>
      <c r="AB4" s="10"/>
    </row>
    <row r="5" spans="1:28" ht="14.25" customHeight="1">
      <c r="F5" s="422" t="s">
        <v>457</v>
      </c>
      <c r="G5" s="423"/>
      <c r="H5" s="142" t="s">
        <v>62</v>
      </c>
      <c r="I5" s="896"/>
      <c r="J5" s="1049" t="str">
        <f>IF(J$3&lt;&gt;$A$1,"",'Bau-Geometrie'!C25)</f>
        <v/>
      </c>
      <c r="K5" s="1050"/>
      <c r="L5" s="1050"/>
      <c r="M5" s="1049" t="str">
        <f>IF(M$3&lt;&gt;$A$1,"",'Bau-Geometrie'!D25)</f>
        <v/>
      </c>
      <c r="N5" s="1050"/>
      <c r="O5" s="1050"/>
      <c r="P5" s="1049" t="str">
        <f>IF(P$3&lt;&gt;$A$1,"",'Bau-Geometrie'!E25)</f>
        <v/>
      </c>
      <c r="Q5" s="1050"/>
      <c r="R5" s="1050"/>
      <c r="S5" s="1049" t="str">
        <f>IF(S$3&lt;&gt;$A$1,"",'Bau-Geometrie'!F25)</f>
        <v/>
      </c>
      <c r="T5" s="1050"/>
      <c r="U5" s="1050"/>
      <c r="V5" s="1049" t="str">
        <f>IF(V$3&lt;&gt;$A$1,"",'Bau-Geometrie'!G25)</f>
        <v/>
      </c>
      <c r="W5" s="1050"/>
      <c r="X5" s="1050"/>
      <c r="Y5" s="1049" t="str">
        <f>IF(Y$3&lt;&gt;$A$1,"",'Bau-Geometrie'!H25)</f>
        <v/>
      </c>
      <c r="Z5" s="1050"/>
      <c r="AA5" s="1051"/>
      <c r="AB5" s="10"/>
    </row>
    <row r="6" spans="1:28" ht="14.25" customHeight="1">
      <c r="F6" s="424" t="s">
        <v>458</v>
      </c>
      <c r="G6" s="425"/>
      <c r="H6" s="139" t="s">
        <v>62</v>
      </c>
      <c r="I6" s="426"/>
      <c r="J6" s="1061" t="str">
        <f>IF(J$3&lt;&gt;$A$1,"",'Bau-Geometrie'!C26)</f>
        <v/>
      </c>
      <c r="K6" s="1062"/>
      <c r="L6" s="1062"/>
      <c r="M6" s="1061" t="str">
        <f>IF(M$3&lt;&gt;$A$1,"",'Bau-Geometrie'!D26)</f>
        <v/>
      </c>
      <c r="N6" s="1062"/>
      <c r="O6" s="1062"/>
      <c r="P6" s="1061" t="str">
        <f>IF(P$3&lt;&gt;$A$1,"",'Bau-Geometrie'!E26)</f>
        <v/>
      </c>
      <c r="Q6" s="1062"/>
      <c r="R6" s="1062"/>
      <c r="S6" s="1061" t="str">
        <f>IF(S$3&lt;&gt;$A$1,"",'Bau-Geometrie'!F26)</f>
        <v/>
      </c>
      <c r="T6" s="1062"/>
      <c r="U6" s="1062"/>
      <c r="V6" s="1061" t="str">
        <f>IF(V$3&lt;&gt;$A$1,"",'Bau-Geometrie'!G26)</f>
        <v/>
      </c>
      <c r="W6" s="1062"/>
      <c r="X6" s="1062"/>
      <c r="Y6" s="1061" t="str">
        <f>IF(Y$3&lt;&gt;$A$1,"",'Bau-Geometrie'!H26)</f>
        <v/>
      </c>
      <c r="Z6" s="1062"/>
      <c r="AA6" s="1063"/>
      <c r="AB6" s="10"/>
    </row>
    <row r="7" spans="1:28" s="56" customFormat="1" ht="14.25" customHeight="1">
      <c r="F7" s="180" t="s">
        <v>459</v>
      </c>
      <c r="G7" s="181"/>
      <c r="H7" s="131" t="s">
        <v>62</v>
      </c>
      <c r="I7" s="182"/>
      <c r="J7" s="1141" t="str">
        <f>IF(J$3&lt;&gt;$A$1,"",'Bau-Geometrie'!C27)</f>
        <v/>
      </c>
      <c r="K7" s="1142"/>
      <c r="L7" s="1142"/>
      <c r="M7" s="1141" t="str">
        <f>IF(M$3&lt;&gt;$A$1,"",'Bau-Geometrie'!D27)</f>
        <v/>
      </c>
      <c r="N7" s="1142"/>
      <c r="O7" s="1142"/>
      <c r="P7" s="1141" t="str">
        <f>IF(P$3&lt;&gt;$A$1,"",'Bau-Geometrie'!E27)</f>
        <v/>
      </c>
      <c r="Q7" s="1142"/>
      <c r="R7" s="1142"/>
      <c r="S7" s="1141" t="str">
        <f>IF(S$3&lt;&gt;$A$1,"",'Bau-Geometrie'!F27)</f>
        <v/>
      </c>
      <c r="T7" s="1142"/>
      <c r="U7" s="1142"/>
      <c r="V7" s="1141" t="str">
        <f>IF(V$3&lt;&gt;$A$1,"",'Bau-Geometrie'!G27)</f>
        <v/>
      </c>
      <c r="W7" s="1142"/>
      <c r="X7" s="1142"/>
      <c r="Y7" s="1141" t="str">
        <f>IF(Y$3&lt;&gt;$A$1,"",'Bau-Geometrie'!H27)</f>
        <v/>
      </c>
      <c r="Z7" s="1142"/>
      <c r="AA7" s="1143"/>
      <c r="AB7" s="78"/>
    </row>
    <row r="8" spans="1:28" s="56" customFormat="1" ht="14.25" customHeight="1">
      <c r="F8" s="183" t="s">
        <v>460</v>
      </c>
      <c r="G8" s="904"/>
      <c r="H8" s="132" t="s">
        <v>461</v>
      </c>
      <c r="I8" s="184"/>
      <c r="J8" s="1150" t="str">
        <f>IF(J$3&lt;&gt;$A$1,"",'Bau-Geometrie'!C28)</f>
        <v/>
      </c>
      <c r="K8" s="1151"/>
      <c r="L8" s="1151"/>
      <c r="M8" s="1150" t="str">
        <f>IF(M$3&lt;&gt;$A$1,"",'Bau-Geometrie'!D28)</f>
        <v/>
      </c>
      <c r="N8" s="1151"/>
      <c r="O8" s="1151"/>
      <c r="P8" s="1150" t="str">
        <f>IF(P$3&lt;&gt;$A$1,"",'Bau-Geometrie'!E28)</f>
        <v/>
      </c>
      <c r="Q8" s="1151"/>
      <c r="R8" s="1151"/>
      <c r="S8" s="1150" t="str">
        <f>IF(S$3&lt;&gt;$A$1,"",'Bau-Geometrie'!F28)</f>
        <v/>
      </c>
      <c r="T8" s="1151"/>
      <c r="U8" s="1151"/>
      <c r="V8" s="1150" t="str">
        <f>IF(V$3&lt;&gt;$A$1,"",'Bau-Geometrie'!G28)</f>
        <v/>
      </c>
      <c r="W8" s="1151"/>
      <c r="X8" s="1151"/>
      <c r="Y8" s="1150" t="str">
        <f>IF(Y$3&lt;&gt;$A$1,"",'Bau-Geometrie'!H28)</f>
        <v/>
      </c>
      <c r="Z8" s="1151"/>
      <c r="AA8" s="1152"/>
      <c r="AB8" s="78"/>
    </row>
    <row r="9" spans="1:28" s="147" customFormat="1" ht="14.25" customHeight="1">
      <c r="F9" s="199" t="s">
        <v>53</v>
      </c>
      <c r="G9" s="200"/>
      <c r="H9" s="201" t="s">
        <v>54</v>
      </c>
      <c r="I9" s="200"/>
      <c r="J9" s="1147" t="str">
        <f>IF(J$3&lt;&gt;$A$1,"",'Bau-Geometrie'!C17)</f>
        <v/>
      </c>
      <c r="K9" s="1148"/>
      <c r="L9" s="1148"/>
      <c r="M9" s="1147" t="str">
        <f>IF(M$3&lt;&gt;$A$1,"",'Bau-Geometrie'!D17)</f>
        <v/>
      </c>
      <c r="N9" s="1148"/>
      <c r="O9" s="1148"/>
      <c r="P9" s="1147" t="str">
        <f>IF(P$3&lt;&gt;$A$1,"",'Bau-Geometrie'!E17)</f>
        <v/>
      </c>
      <c r="Q9" s="1148"/>
      <c r="R9" s="1148"/>
      <c r="S9" s="1147" t="str">
        <f>IF(S$3&lt;&gt;$A$1,"",'Bau-Geometrie'!F17)</f>
        <v/>
      </c>
      <c r="T9" s="1148"/>
      <c r="U9" s="1148"/>
      <c r="V9" s="1147" t="str">
        <f>IF(V$3&lt;&gt;$A$1,"",'Bau-Geometrie'!G17)</f>
        <v/>
      </c>
      <c r="W9" s="1148"/>
      <c r="X9" s="1148"/>
      <c r="Y9" s="1147" t="str">
        <f>IF(Y$3&lt;&gt;$A$1,"",'Bau-Geometrie'!H17)</f>
        <v/>
      </c>
      <c r="Z9" s="1148"/>
      <c r="AA9" s="1149"/>
      <c r="AB9" s="151"/>
    </row>
    <row r="10" spans="1:28" s="147" customFormat="1" ht="14.25" customHeight="1">
      <c r="F10" s="160" t="s">
        <v>57</v>
      </c>
      <c r="G10" s="167"/>
      <c r="H10" s="157" t="s">
        <v>54</v>
      </c>
      <c r="I10" s="167"/>
      <c r="J10" s="1153" t="str">
        <f>IF(J$3&lt;&gt;$A$1,"",'Bau-Geometrie'!C18)</f>
        <v/>
      </c>
      <c r="K10" s="1154"/>
      <c r="L10" s="1154"/>
      <c r="M10" s="1153" t="str">
        <f>IF(M$3&lt;&gt;$A$1,"",'Bau-Geometrie'!D18)</f>
        <v/>
      </c>
      <c r="N10" s="1154"/>
      <c r="O10" s="1154"/>
      <c r="P10" s="1153" t="str">
        <f>IF(P$3&lt;&gt;$A$1,"",'Bau-Geometrie'!E18)</f>
        <v/>
      </c>
      <c r="Q10" s="1154"/>
      <c r="R10" s="1154"/>
      <c r="S10" s="1153" t="str">
        <f>IF(S$3&lt;&gt;$A$1,"",'Bau-Geometrie'!F18)</f>
        <v/>
      </c>
      <c r="T10" s="1154"/>
      <c r="U10" s="1154"/>
      <c r="V10" s="1153" t="str">
        <f>IF(V$3&lt;&gt;$A$1,"",'Bau-Geometrie'!G18)</f>
        <v/>
      </c>
      <c r="W10" s="1154"/>
      <c r="X10" s="1154"/>
      <c r="Y10" s="1153" t="str">
        <f>IF(Y$3&lt;&gt;$A$1,"",'Bau-Geometrie'!H18)</f>
        <v/>
      </c>
      <c r="Z10" s="1154"/>
      <c r="AA10" s="1155"/>
      <c r="AB10" s="151"/>
    </row>
    <row r="11" spans="1:28" s="147" customFormat="1" ht="14.25" customHeight="1">
      <c r="F11" s="160" t="s">
        <v>60</v>
      </c>
      <c r="G11" s="167"/>
      <c r="H11" s="157" t="s">
        <v>54</v>
      </c>
      <c r="I11" s="202"/>
      <c r="J11" s="1153" t="str">
        <f>IF(J$3&lt;&gt;$A$1,"",'Bau-Geometrie'!C19)</f>
        <v/>
      </c>
      <c r="K11" s="1154"/>
      <c r="L11" s="1154"/>
      <c r="M11" s="1153" t="str">
        <f>IF(M$3&lt;&gt;$A$1,"",'Bau-Geometrie'!D19)</f>
        <v/>
      </c>
      <c r="N11" s="1154"/>
      <c r="O11" s="1154"/>
      <c r="P11" s="1153" t="str">
        <f>IF(P$3&lt;&gt;$A$1,"",'Bau-Geometrie'!E19)</f>
        <v/>
      </c>
      <c r="Q11" s="1154"/>
      <c r="R11" s="1154"/>
      <c r="S11" s="1153" t="str">
        <f>IF(S$3&lt;&gt;$A$1,"",'Bau-Geometrie'!F19)</f>
        <v/>
      </c>
      <c r="T11" s="1154"/>
      <c r="U11" s="1154"/>
      <c r="V11" s="1153" t="str">
        <f>IF(V$3&lt;&gt;$A$1,"",'Bau-Geometrie'!G19)</f>
        <v/>
      </c>
      <c r="W11" s="1154"/>
      <c r="X11" s="1154"/>
      <c r="Y11" s="1153" t="str">
        <f>IF(Y$3&lt;&gt;$A$1,"",'Bau-Geometrie'!H19)</f>
        <v/>
      </c>
      <c r="Z11" s="1154"/>
      <c r="AA11" s="1155"/>
      <c r="AB11" s="151"/>
    </row>
    <row r="12" spans="1:28" s="147" customFormat="1" ht="14.25" customHeight="1">
      <c r="F12" s="160" t="s">
        <v>63</v>
      </c>
      <c r="G12" s="202"/>
      <c r="H12" s="157" t="s">
        <v>54</v>
      </c>
      <c r="I12" s="202"/>
      <c r="J12" s="1153" t="str">
        <f>IF(J$3&lt;&gt;$A$1,"",'Bau-Geometrie'!C20)</f>
        <v/>
      </c>
      <c r="K12" s="1154"/>
      <c r="L12" s="1154"/>
      <c r="M12" s="1153" t="str">
        <f>IF(M$3&lt;&gt;$A$1,"",'Bau-Geometrie'!D20)</f>
        <v/>
      </c>
      <c r="N12" s="1154"/>
      <c r="O12" s="1154"/>
      <c r="P12" s="1153" t="str">
        <f>IF(P$3&lt;&gt;$A$1,"",'Bau-Geometrie'!E20)</f>
        <v/>
      </c>
      <c r="Q12" s="1154"/>
      <c r="R12" s="1154"/>
      <c r="S12" s="1153" t="str">
        <f>IF(S$3&lt;&gt;$A$1,"",'Bau-Geometrie'!F20)</f>
        <v/>
      </c>
      <c r="T12" s="1154"/>
      <c r="U12" s="1154"/>
      <c r="V12" s="1153" t="str">
        <f>IF(V$3&lt;&gt;$A$1,"",'Bau-Geometrie'!G20)</f>
        <v/>
      </c>
      <c r="W12" s="1154"/>
      <c r="X12" s="1154"/>
      <c r="Y12" s="1153" t="str">
        <f>IF(Y$3&lt;&gt;$A$1,"",'Bau-Geometrie'!H20)</f>
        <v/>
      </c>
      <c r="Z12" s="1154"/>
      <c r="AA12" s="1155"/>
      <c r="AB12" s="151"/>
    </row>
    <row r="13" spans="1:28" s="147" customFormat="1" ht="14.25" customHeight="1">
      <c r="F13" s="160" t="s">
        <v>65</v>
      </c>
      <c r="G13" s="202"/>
      <c r="H13" s="157" t="s">
        <v>54</v>
      </c>
      <c r="I13" s="202"/>
      <c r="J13" s="1153" t="str">
        <f>IF(J$3&lt;&gt;$A$1,"",'Bau-Geometrie'!C21)</f>
        <v/>
      </c>
      <c r="K13" s="1154"/>
      <c r="L13" s="1154"/>
      <c r="M13" s="1153" t="str">
        <f>IF(M$3&lt;&gt;$A$1,"",'Bau-Geometrie'!D21)</f>
        <v/>
      </c>
      <c r="N13" s="1154"/>
      <c r="O13" s="1154"/>
      <c r="P13" s="1153" t="str">
        <f>IF(P$3&lt;&gt;$A$1,"",'Bau-Geometrie'!E21)</f>
        <v/>
      </c>
      <c r="Q13" s="1154"/>
      <c r="R13" s="1154"/>
      <c r="S13" s="1153" t="str">
        <f>IF(S$3&lt;&gt;$A$1,"",'Bau-Geometrie'!F21)</f>
        <v/>
      </c>
      <c r="T13" s="1154"/>
      <c r="U13" s="1154"/>
      <c r="V13" s="1153" t="str">
        <f>IF(V$3&lt;&gt;$A$1,"",'Bau-Geometrie'!G21)</f>
        <v/>
      </c>
      <c r="W13" s="1154"/>
      <c r="X13" s="1154"/>
      <c r="Y13" s="1153" t="str">
        <f>IF(Y$3&lt;&gt;$A$1,"",'Bau-Geometrie'!H21)</f>
        <v/>
      </c>
      <c r="Z13" s="1154"/>
      <c r="AA13" s="1155"/>
      <c r="AB13" s="151"/>
    </row>
    <row r="14" spans="1:28" s="56" customFormat="1" ht="14.25" customHeight="1">
      <c r="F14" s="187" t="s">
        <v>67</v>
      </c>
      <c r="G14" s="188"/>
      <c r="H14" s="136" t="s">
        <v>54</v>
      </c>
      <c r="I14" s="188"/>
      <c r="J14" s="1167" t="str">
        <f>IF(J$3&lt;&gt;$A$1,"",'Bau-Geometrie'!C22)</f>
        <v/>
      </c>
      <c r="K14" s="1168"/>
      <c r="L14" s="1168"/>
      <c r="M14" s="1167" t="str">
        <f>IF(M$3&lt;&gt;$A$1,"",'Bau-Geometrie'!D22)</f>
        <v/>
      </c>
      <c r="N14" s="1168"/>
      <c r="O14" s="1168"/>
      <c r="P14" s="1167" t="str">
        <f>IF(P$3&lt;&gt;$A$1,"",'Bau-Geometrie'!E22)</f>
        <v/>
      </c>
      <c r="Q14" s="1168"/>
      <c r="R14" s="1168"/>
      <c r="S14" s="1167" t="str">
        <f>IF(S$3&lt;&gt;$A$1,"",'Bau-Geometrie'!F22)</f>
        <v/>
      </c>
      <c r="T14" s="1168"/>
      <c r="U14" s="1168"/>
      <c r="V14" s="1167" t="str">
        <f>IF(V$3&lt;&gt;$A$1,"",'Bau-Geometrie'!G22)</f>
        <v/>
      </c>
      <c r="W14" s="1168"/>
      <c r="X14" s="1168"/>
      <c r="Y14" s="1167" t="str">
        <f>IF(Y$3&lt;&gt;$A$1,"",'Bau-Geometrie'!H22)</f>
        <v/>
      </c>
      <c r="Z14" s="1168"/>
      <c r="AA14" s="1169"/>
      <c r="AB14" s="78"/>
    </row>
    <row r="15" spans="1:28" s="56" customFormat="1" ht="14.25" customHeight="1">
      <c r="F15" s="177" t="s">
        <v>78</v>
      </c>
      <c r="G15" s="179"/>
      <c r="H15" s="139" t="s">
        <v>25</v>
      </c>
      <c r="I15" s="178"/>
      <c r="J15" s="1144" t="str">
        <f>IF(J$3&lt;&gt;$A$1,"",'Bau-Geometrie'!C29)</f>
        <v/>
      </c>
      <c r="K15" s="1145"/>
      <c r="L15" s="1145"/>
      <c r="M15" s="1144" t="str">
        <f>IF(M$3&lt;&gt;$A$1,"",'Bau-Geometrie'!D29)</f>
        <v/>
      </c>
      <c r="N15" s="1145"/>
      <c r="O15" s="1145"/>
      <c r="P15" s="1144" t="str">
        <f>IF(P$3&lt;&gt;$A$1,"",'Bau-Geometrie'!E29)</f>
        <v/>
      </c>
      <c r="Q15" s="1145"/>
      <c r="R15" s="1145"/>
      <c r="S15" s="1144" t="str">
        <f>IF(S$3&lt;&gt;$A$1,"",'Bau-Geometrie'!F29)</f>
        <v/>
      </c>
      <c r="T15" s="1145"/>
      <c r="U15" s="1145"/>
      <c r="V15" s="1144" t="str">
        <f>IF(V$3&lt;&gt;$A$1,"",'Bau-Geometrie'!G29)</f>
        <v/>
      </c>
      <c r="W15" s="1145"/>
      <c r="X15" s="1145"/>
      <c r="Y15" s="1144" t="str">
        <f>IF(Y$3&lt;&gt;$A$1,"",'Bau-Geometrie'!H29)</f>
        <v/>
      </c>
      <c r="Z15" s="1145"/>
      <c r="AA15" s="1146"/>
      <c r="AB15" s="78"/>
    </row>
    <row r="16" spans="1:28" s="56" customFormat="1" ht="14.25" customHeight="1">
      <c r="F16" s="189" t="s">
        <v>462</v>
      </c>
      <c r="G16" s="182"/>
      <c r="H16" s="131" t="s">
        <v>62</v>
      </c>
      <c r="I16" s="182"/>
      <c r="J16" s="1141" t="str">
        <f>IF(J$3&lt;&gt;$A$1,"",'Bau-Geometrie'!C30)</f>
        <v/>
      </c>
      <c r="K16" s="1142"/>
      <c r="L16" s="1142"/>
      <c r="M16" s="1141" t="str">
        <f>IF(M$3&lt;&gt;$A$1,"",'Bau-Geometrie'!D30)</f>
        <v/>
      </c>
      <c r="N16" s="1142"/>
      <c r="O16" s="1142"/>
      <c r="P16" s="1141" t="str">
        <f>IF(P$3&lt;&gt;$A$1,"",'Bau-Geometrie'!E30)</f>
        <v/>
      </c>
      <c r="Q16" s="1142"/>
      <c r="R16" s="1142"/>
      <c r="S16" s="1141" t="str">
        <f>IF(S$3&lt;&gt;$A$1,"",'Bau-Geometrie'!F30)</f>
        <v/>
      </c>
      <c r="T16" s="1142"/>
      <c r="U16" s="1142"/>
      <c r="V16" s="1141" t="str">
        <f>IF(V$3&lt;&gt;$A$1,"",'Bau-Geometrie'!G30)</f>
        <v/>
      </c>
      <c r="W16" s="1142"/>
      <c r="X16" s="1142"/>
      <c r="Y16" s="1141" t="str">
        <f>IF(Y$3&lt;&gt;$A$1,"",'Bau-Geometrie'!H30)</f>
        <v/>
      </c>
      <c r="Z16" s="1142"/>
      <c r="AA16" s="1143"/>
      <c r="AB16" s="78"/>
    </row>
    <row r="17" spans="6:28" s="56" customFormat="1" ht="14.25" customHeight="1">
      <c r="F17" s="180" t="s">
        <v>459</v>
      </c>
      <c r="G17" s="182"/>
      <c r="H17" s="131" t="s">
        <v>62</v>
      </c>
      <c r="I17" s="182"/>
      <c r="J17" s="1141" t="str">
        <f>IF(J$3&lt;&gt;$A$1,"",'Bau-Geometrie'!C31)</f>
        <v/>
      </c>
      <c r="K17" s="1142"/>
      <c r="L17" s="1142"/>
      <c r="M17" s="1141" t="str">
        <f>IF(M$3&lt;&gt;$A$1,"",'Bau-Geometrie'!D31)</f>
        <v/>
      </c>
      <c r="N17" s="1142"/>
      <c r="O17" s="1142"/>
      <c r="P17" s="1141" t="str">
        <f>IF(P$3&lt;&gt;$A$1,"",'Bau-Geometrie'!E31)</f>
        <v/>
      </c>
      <c r="Q17" s="1142"/>
      <c r="R17" s="1142"/>
      <c r="S17" s="1141" t="str">
        <f>IF(S$3&lt;&gt;$A$1,"",'Bau-Geometrie'!F31)</f>
        <v/>
      </c>
      <c r="T17" s="1142"/>
      <c r="U17" s="1142"/>
      <c r="V17" s="1141" t="str">
        <f>IF(V$3&lt;&gt;$A$1,"",'Bau-Geometrie'!G31)</f>
        <v/>
      </c>
      <c r="W17" s="1142"/>
      <c r="X17" s="1142"/>
      <c r="Y17" s="1141" t="str">
        <f>IF(Y$3&lt;&gt;$A$1,"",'Bau-Geometrie'!H31)</f>
        <v/>
      </c>
      <c r="Z17" s="1142"/>
      <c r="AA17" s="1143"/>
      <c r="AB17" s="78"/>
    </row>
    <row r="18" spans="6:28" s="56" customFormat="1" ht="14.25" customHeight="1">
      <c r="F18" s="183" t="s">
        <v>460</v>
      </c>
      <c r="G18" s="190"/>
      <c r="H18" s="132" t="s">
        <v>461</v>
      </c>
      <c r="I18" s="184"/>
      <c r="J18" s="1150" t="str">
        <f>IF(J$3&lt;&gt;$A$1,"",'Bau-Geometrie'!C32)</f>
        <v/>
      </c>
      <c r="K18" s="1151"/>
      <c r="L18" s="1151"/>
      <c r="M18" s="1150" t="str">
        <f>IF(M$3&lt;&gt;$A$1,"",'Bau-Geometrie'!D32)</f>
        <v/>
      </c>
      <c r="N18" s="1151"/>
      <c r="O18" s="1151"/>
      <c r="P18" s="1150" t="str">
        <f>IF(P$3&lt;&gt;$A$1,"",'Bau-Geometrie'!E32)</f>
        <v/>
      </c>
      <c r="Q18" s="1151"/>
      <c r="R18" s="1151"/>
      <c r="S18" s="1150" t="str">
        <f>IF(S$3&lt;&gt;$A$1,"",'Bau-Geometrie'!F32)</f>
        <v/>
      </c>
      <c r="T18" s="1151"/>
      <c r="U18" s="1151"/>
      <c r="V18" s="1150" t="str">
        <f>IF(V$3&lt;&gt;$A$1,"",'Bau-Geometrie'!G32)</f>
        <v/>
      </c>
      <c r="W18" s="1151"/>
      <c r="X18" s="1151"/>
      <c r="Y18" s="1150" t="str">
        <f>IF(Y$3&lt;&gt;$A$1,"",'Bau-Geometrie'!H32)</f>
        <v/>
      </c>
      <c r="Z18" s="1151"/>
      <c r="AA18" s="1152"/>
      <c r="AB18" s="78"/>
    </row>
    <row r="19" spans="6:28" s="147" customFormat="1" ht="14.25" customHeight="1">
      <c r="F19" s="199" t="s">
        <v>80</v>
      </c>
      <c r="G19" s="204"/>
      <c r="H19" s="201" t="s">
        <v>25</v>
      </c>
      <c r="I19" s="200"/>
      <c r="J19" s="1147" t="str">
        <f>IF(J$3&lt;&gt;$A$1,"",'Bau-Geometrie'!C33)</f>
        <v/>
      </c>
      <c r="K19" s="1148"/>
      <c r="L19" s="1148"/>
      <c r="M19" s="1147" t="str">
        <f>IF(M$3&lt;&gt;$A$1,"",'Bau-Geometrie'!D33)</f>
        <v/>
      </c>
      <c r="N19" s="1148"/>
      <c r="O19" s="1148"/>
      <c r="P19" s="1147" t="str">
        <f>IF(P$3&lt;&gt;$A$1,"",'Bau-Geometrie'!E33)</f>
        <v/>
      </c>
      <c r="Q19" s="1148"/>
      <c r="R19" s="1148"/>
      <c r="S19" s="1147" t="str">
        <f>IF(S$3&lt;&gt;$A$1,"",'Bau-Geometrie'!F33)</f>
        <v/>
      </c>
      <c r="T19" s="1148"/>
      <c r="U19" s="1148"/>
      <c r="V19" s="1170" t="str">
        <f>IF(V$3&lt;&gt;$A$1,"",'Bau-Geometrie'!G33)</f>
        <v/>
      </c>
      <c r="W19" s="1171"/>
      <c r="X19" s="1171"/>
      <c r="Y19" s="1170" t="str">
        <f>IF(Y$3&lt;&gt;$A$1,"",'Bau-Geometrie'!H33)</f>
        <v/>
      </c>
      <c r="Z19" s="1171"/>
      <c r="AA19" s="1172"/>
      <c r="AB19" s="151"/>
    </row>
    <row r="20" spans="6:28" s="147" customFormat="1" ht="14.25" customHeight="1">
      <c r="F20" s="156" t="s">
        <v>462</v>
      </c>
      <c r="G20" s="891"/>
      <c r="H20" s="157" t="s">
        <v>62</v>
      </c>
      <c r="I20" s="167"/>
      <c r="J20" s="1079" t="str">
        <f>IF(J$3&lt;&gt;$A$1,"",'Bau-Geometrie'!C34)</f>
        <v/>
      </c>
      <c r="K20" s="1080"/>
      <c r="L20" s="1080"/>
      <c r="M20" s="1079" t="str">
        <f>IF(M$3&lt;&gt;$A$1,"",'Bau-Geometrie'!D34)</f>
        <v/>
      </c>
      <c r="N20" s="1080"/>
      <c r="O20" s="1080"/>
      <c r="P20" s="1079" t="str">
        <f>IF(P$3&lt;&gt;$A$1,"",'Bau-Geometrie'!E34)</f>
        <v/>
      </c>
      <c r="Q20" s="1080"/>
      <c r="R20" s="1080"/>
      <c r="S20" s="1079" t="str">
        <f>IF(S$3&lt;&gt;$A$1,"",'Bau-Geometrie'!F34)</f>
        <v/>
      </c>
      <c r="T20" s="1080"/>
      <c r="U20" s="1080"/>
      <c r="V20" s="1079" t="str">
        <f>IF(V$3&lt;&gt;$A$1,"",'Bau-Geometrie'!G34)</f>
        <v/>
      </c>
      <c r="W20" s="1080"/>
      <c r="X20" s="1080"/>
      <c r="Y20" s="1079" t="str">
        <f>IF(Y$3&lt;&gt;$A$1,"",'Bau-Geometrie'!H34)</f>
        <v/>
      </c>
      <c r="Z20" s="1080"/>
      <c r="AA20" s="1081"/>
      <c r="AB20" s="151"/>
    </row>
    <row r="21" spans="6:28" s="147" customFormat="1" ht="14.25" customHeight="1">
      <c r="F21" s="160" t="s">
        <v>459</v>
      </c>
      <c r="G21" s="891"/>
      <c r="H21" s="157" t="s">
        <v>62</v>
      </c>
      <c r="I21" s="167"/>
      <c r="J21" s="1079" t="str">
        <f>IF(J$3&lt;&gt;$A$1,"",'Bau-Geometrie'!C35)</f>
        <v/>
      </c>
      <c r="K21" s="1080"/>
      <c r="L21" s="1080"/>
      <c r="M21" s="1079" t="str">
        <f>IF(M$3&lt;&gt;$A$1,"",'Bau-Geometrie'!D35)</f>
        <v/>
      </c>
      <c r="N21" s="1080"/>
      <c r="O21" s="1080"/>
      <c r="P21" s="1079" t="str">
        <f>IF(P$3&lt;&gt;$A$1,"",'Bau-Geometrie'!E35)</f>
        <v/>
      </c>
      <c r="Q21" s="1080"/>
      <c r="R21" s="1080"/>
      <c r="S21" s="1079" t="str">
        <f>IF(S$3&lt;&gt;$A$1,"",'Bau-Geometrie'!F35)</f>
        <v/>
      </c>
      <c r="T21" s="1080"/>
      <c r="U21" s="1080"/>
      <c r="V21" s="1079" t="str">
        <f>IF(V$3&lt;&gt;$A$1,"",'Bau-Geometrie'!G35)</f>
        <v/>
      </c>
      <c r="W21" s="1080"/>
      <c r="X21" s="1080"/>
      <c r="Y21" s="1079" t="str">
        <f>IF(Y$3&lt;&gt;$A$1,"",'Bau-Geometrie'!H35)</f>
        <v/>
      </c>
      <c r="Z21" s="1080"/>
      <c r="AA21" s="1081"/>
      <c r="AB21" s="151"/>
    </row>
    <row r="22" spans="6:28" s="147" customFormat="1" ht="14.25" customHeight="1">
      <c r="F22" s="148" t="s">
        <v>460</v>
      </c>
      <c r="G22" s="905"/>
      <c r="H22" s="150" t="s">
        <v>504</v>
      </c>
      <c r="I22" s="205"/>
      <c r="J22" s="1173" t="str">
        <f>IF(J$3&lt;&gt;$A$1,"",'Bau-Geometrie'!C36)</f>
        <v/>
      </c>
      <c r="K22" s="1174"/>
      <c r="L22" s="1174"/>
      <c r="M22" s="1173" t="str">
        <f>IF(M$3&lt;&gt;$A$1,"",'Bau-Geometrie'!D36)</f>
        <v/>
      </c>
      <c r="N22" s="1174"/>
      <c r="O22" s="1174"/>
      <c r="P22" s="1173" t="str">
        <f>IF(P$3&lt;&gt;$A$1,"",'Bau-Geometrie'!E36)</f>
        <v/>
      </c>
      <c r="Q22" s="1174"/>
      <c r="R22" s="1174"/>
      <c r="S22" s="1173" t="str">
        <f>IF(S$3&lt;&gt;$A$1,"",'Bau-Geometrie'!F36)</f>
        <v/>
      </c>
      <c r="T22" s="1174"/>
      <c r="U22" s="1174"/>
      <c r="V22" s="1173" t="str">
        <f>IF(V$3&lt;&gt;$A$1,"",'Bau-Geometrie'!G36)</f>
        <v/>
      </c>
      <c r="W22" s="1174"/>
      <c r="X22" s="1174"/>
      <c r="Y22" s="1173" t="str">
        <f>IF(Y$3&lt;&gt;$A$1,"",'Bau-Geometrie'!H36)</f>
        <v/>
      </c>
      <c r="Z22" s="1174"/>
      <c r="AA22" s="1175"/>
      <c r="AB22" s="151"/>
    </row>
    <row r="23" spans="6:28" s="56" customFormat="1" ht="14.25" customHeight="1">
      <c r="F23" s="177" t="s">
        <v>82</v>
      </c>
      <c r="G23" s="139"/>
      <c r="H23" s="139" t="s">
        <v>25</v>
      </c>
      <c r="I23" s="179"/>
      <c r="J23" s="1176" t="str">
        <f>IF(J$3&lt;&gt;$A$1,"",'Bau-Geometrie'!C37)</f>
        <v/>
      </c>
      <c r="K23" s="1177"/>
      <c r="L23" s="1177"/>
      <c r="M23" s="1176" t="str">
        <f>IF(M$3&lt;&gt;$A$1,"",'Bau-Geometrie'!D37)</f>
        <v/>
      </c>
      <c r="N23" s="1177"/>
      <c r="O23" s="1177"/>
      <c r="P23" s="1176" t="str">
        <f>IF(P$3&lt;&gt;$A$1,"",'Bau-Geometrie'!E37)</f>
        <v/>
      </c>
      <c r="Q23" s="1177"/>
      <c r="R23" s="1177"/>
      <c r="S23" s="1176" t="str">
        <f>IF(S$3&lt;&gt;$A$1,"",'Bau-Geometrie'!F37)</f>
        <v/>
      </c>
      <c r="T23" s="1177"/>
      <c r="U23" s="1177"/>
      <c r="V23" s="1144" t="str">
        <f>IF(V$3&lt;&gt;$A$1,"",'Bau-Geometrie'!G37)</f>
        <v/>
      </c>
      <c r="W23" s="1145"/>
      <c r="X23" s="1145"/>
      <c r="Y23" s="1144" t="str">
        <f>IF(Y$3&lt;&gt;$A$1,"",'Bau-Geometrie'!H37)</f>
        <v/>
      </c>
      <c r="Z23" s="1145"/>
      <c r="AA23" s="1146"/>
      <c r="AB23" s="78"/>
    </row>
    <row r="24" spans="6:28" s="56" customFormat="1" ht="14.25" customHeight="1">
      <c r="F24" s="189" t="s">
        <v>462</v>
      </c>
      <c r="G24" s="131"/>
      <c r="H24" s="131" t="s">
        <v>62</v>
      </c>
      <c r="I24" s="181"/>
      <c r="J24" s="1141" t="str">
        <f>IF(J$3&lt;&gt;$A$1,"",'Bau-Geometrie'!C38)</f>
        <v/>
      </c>
      <c r="K24" s="1142"/>
      <c r="L24" s="1142"/>
      <c r="M24" s="1141" t="str">
        <f>IF(M$3&lt;&gt;$A$1,"",'Bau-Geometrie'!D38)</f>
        <v/>
      </c>
      <c r="N24" s="1142"/>
      <c r="O24" s="1142"/>
      <c r="P24" s="1141" t="str">
        <f>IF(P$3&lt;&gt;$A$1,"",'Bau-Geometrie'!E38)</f>
        <v/>
      </c>
      <c r="Q24" s="1142"/>
      <c r="R24" s="1142"/>
      <c r="S24" s="1141" t="str">
        <f>IF(S$3&lt;&gt;$A$1,"",'Bau-Geometrie'!F38)</f>
        <v/>
      </c>
      <c r="T24" s="1142"/>
      <c r="U24" s="1142"/>
      <c r="V24" s="1141" t="str">
        <f>IF(V$3&lt;&gt;$A$1,"",'Bau-Geometrie'!G38)</f>
        <v/>
      </c>
      <c r="W24" s="1142"/>
      <c r="X24" s="1142"/>
      <c r="Y24" s="1141" t="str">
        <f>IF(Y$3&lt;&gt;$A$1,"",'Bau-Geometrie'!H38)</f>
        <v/>
      </c>
      <c r="Z24" s="1142"/>
      <c r="AA24" s="1143"/>
      <c r="AB24" s="78"/>
    </row>
    <row r="25" spans="6:28" s="56" customFormat="1" ht="14.25" customHeight="1">
      <c r="F25" s="180" t="s">
        <v>459</v>
      </c>
      <c r="G25" s="131"/>
      <c r="H25" s="131" t="s">
        <v>62</v>
      </c>
      <c r="I25" s="181"/>
      <c r="J25" s="1141" t="str">
        <f>IF(J$3&lt;&gt;$A$1,"",'Bau-Geometrie'!C39)</f>
        <v/>
      </c>
      <c r="K25" s="1142"/>
      <c r="L25" s="1142"/>
      <c r="M25" s="1141" t="str">
        <f>IF(M$3&lt;&gt;$A$1,"",'Bau-Geometrie'!D39)</f>
        <v/>
      </c>
      <c r="N25" s="1142"/>
      <c r="O25" s="1142"/>
      <c r="P25" s="1141" t="str">
        <f>IF(P$3&lt;&gt;$A$1,"",'Bau-Geometrie'!E39)</f>
        <v/>
      </c>
      <c r="Q25" s="1142"/>
      <c r="R25" s="1142"/>
      <c r="S25" s="1141" t="str">
        <f>IF(S$3&lt;&gt;$A$1,"",'Bau-Geometrie'!F39)</f>
        <v/>
      </c>
      <c r="T25" s="1142"/>
      <c r="U25" s="1142"/>
      <c r="V25" s="1141" t="str">
        <f>IF(V$3&lt;&gt;$A$1,"",'Bau-Geometrie'!G39)</f>
        <v/>
      </c>
      <c r="W25" s="1142"/>
      <c r="X25" s="1142"/>
      <c r="Y25" s="1141" t="str">
        <f>IF(Y$3&lt;&gt;$A$1,"",'Bau-Geometrie'!H39)</f>
        <v/>
      </c>
      <c r="Z25" s="1142"/>
      <c r="AA25" s="1143"/>
      <c r="AB25" s="78"/>
    </row>
    <row r="26" spans="6:28" s="56" customFormat="1" ht="14.25" customHeight="1">
      <c r="F26" s="183" t="s">
        <v>460</v>
      </c>
      <c r="G26" s="132"/>
      <c r="H26" s="132" t="s">
        <v>461</v>
      </c>
      <c r="I26" s="193"/>
      <c r="J26" s="1150" t="str">
        <f>IF(J$3&lt;&gt;$A$1,"",'Bau-Geometrie'!C40)</f>
        <v/>
      </c>
      <c r="K26" s="1151"/>
      <c r="L26" s="1151"/>
      <c r="M26" s="1150" t="str">
        <f>IF(M$3&lt;&gt;$A$1,"",'Bau-Geometrie'!D40)</f>
        <v/>
      </c>
      <c r="N26" s="1151"/>
      <c r="O26" s="1151"/>
      <c r="P26" s="1150" t="str">
        <f>IF(P$3&lt;&gt;$A$1,"",'Bau-Geometrie'!E40)</f>
        <v/>
      </c>
      <c r="Q26" s="1151"/>
      <c r="R26" s="1151"/>
      <c r="S26" s="1150" t="str">
        <f>IF(S$3&lt;&gt;$A$1,"",'Bau-Geometrie'!F40)</f>
        <v/>
      </c>
      <c r="T26" s="1151"/>
      <c r="U26" s="1151"/>
      <c r="V26" s="1150" t="str">
        <f>IF(V$3&lt;&gt;$A$1,"",'Bau-Geometrie'!G40)</f>
        <v/>
      </c>
      <c r="W26" s="1151"/>
      <c r="X26" s="1151"/>
      <c r="Y26" s="1150" t="str">
        <f>IF(Y$3&lt;&gt;$A$1,"",'Bau-Geometrie'!H40)</f>
        <v/>
      </c>
      <c r="Z26" s="1151"/>
      <c r="AA26" s="1152"/>
      <c r="AB26" s="78"/>
    </row>
    <row r="27" spans="6:28" s="56" customFormat="1" ht="14.25" customHeight="1">
      <c r="F27" s="175" t="s">
        <v>463</v>
      </c>
      <c r="G27" s="906"/>
      <c r="H27" s="142" t="s">
        <v>464</v>
      </c>
      <c r="I27" s="194"/>
      <c r="J27" s="1178" t="str">
        <f>IF(J$3&lt;&gt;$A$1,"",'Bau-Geometrie'!C41)</f>
        <v/>
      </c>
      <c r="K27" s="1179"/>
      <c r="L27" s="1179"/>
      <c r="M27" s="1178" t="str">
        <f>IF(M$3&lt;&gt;$A$1,"",'Bau-Geometrie'!D41)</f>
        <v/>
      </c>
      <c r="N27" s="1179"/>
      <c r="O27" s="1179"/>
      <c r="P27" s="1178" t="str">
        <f>IF(P$3&lt;&gt;$A$1,"",'Bau-Geometrie'!E41)</f>
        <v/>
      </c>
      <c r="Q27" s="1179"/>
      <c r="R27" s="1179"/>
      <c r="S27" s="1178" t="str">
        <f>IF(S$3&lt;&gt;$A$1,"",'Bau-Geometrie'!F41)</f>
        <v/>
      </c>
      <c r="T27" s="1179"/>
      <c r="U27" s="1179"/>
      <c r="V27" s="1178" t="str">
        <f>IF(V$3&lt;&gt;$A$1,"",'Bau-Geometrie'!G41)</f>
        <v/>
      </c>
      <c r="W27" s="1179"/>
      <c r="X27" s="1179"/>
      <c r="Y27" s="1178" t="str">
        <f>IF(Y$3&lt;&gt;$A$1,"",'Bau-Geometrie'!H41)</f>
        <v/>
      </c>
      <c r="Z27" s="1179"/>
      <c r="AA27" s="1180"/>
      <c r="AB27" s="78"/>
    </row>
    <row r="28" spans="6:28" s="56" customFormat="1" ht="14.25" customHeight="1">
      <c r="F28" s="185" t="s">
        <v>85</v>
      </c>
      <c r="G28" s="900"/>
      <c r="H28" s="140" t="s">
        <v>25</v>
      </c>
      <c r="I28" s="191"/>
      <c r="J28" s="1156" t="str">
        <f>IF(J$3&lt;&gt;$A$1,"",'Bau-Geometrie'!C42)</f>
        <v/>
      </c>
      <c r="K28" s="1157"/>
      <c r="L28" s="1157"/>
      <c r="M28" s="1156" t="str">
        <f>IF(M$3&lt;&gt;$A$1,"",'Bau-Geometrie'!D42)</f>
        <v/>
      </c>
      <c r="N28" s="1157"/>
      <c r="O28" s="1157"/>
      <c r="P28" s="1156" t="str">
        <f>IF(P$3&lt;&gt;$A$1,"",'Bau-Geometrie'!E42)</f>
        <v/>
      </c>
      <c r="Q28" s="1157"/>
      <c r="R28" s="1157"/>
      <c r="S28" s="1156" t="str">
        <f>IF(S$3&lt;&gt;$A$1,"",'Bau-Geometrie'!F42)</f>
        <v/>
      </c>
      <c r="T28" s="1157"/>
      <c r="U28" s="1157"/>
      <c r="V28" s="1158" t="str">
        <f>IF(V$3&lt;&gt;$A$1,"",'Bau-Geometrie'!G42)</f>
        <v/>
      </c>
      <c r="W28" s="1159"/>
      <c r="X28" s="1159"/>
      <c r="Y28" s="1158" t="str">
        <f>IF(Y$3&lt;&gt;$A$1,"",'Bau-Geometrie'!H42)</f>
        <v/>
      </c>
      <c r="Z28" s="1159"/>
      <c r="AA28" s="1160"/>
      <c r="AB28" s="78"/>
    </row>
    <row r="29" spans="6:28" s="56" customFormat="1" ht="14.25" customHeight="1">
      <c r="F29" s="189" t="s">
        <v>462</v>
      </c>
      <c r="G29" s="901"/>
      <c r="H29" s="131" t="s">
        <v>62</v>
      </c>
      <c r="I29" s="181"/>
      <c r="J29" s="1141" t="str">
        <f>IF(J$3&lt;&gt;$A$1,"",'Bau-Geometrie'!C43)</f>
        <v/>
      </c>
      <c r="K29" s="1142"/>
      <c r="L29" s="1142"/>
      <c r="M29" s="1141" t="str">
        <f>IF(M$3&lt;&gt;$A$1,"",'Bau-Geometrie'!D43)</f>
        <v/>
      </c>
      <c r="N29" s="1142"/>
      <c r="O29" s="1142"/>
      <c r="P29" s="1141" t="str">
        <f>IF(P$3&lt;&gt;$A$1,"",'Bau-Geometrie'!E43)</f>
        <v/>
      </c>
      <c r="Q29" s="1142"/>
      <c r="R29" s="1142"/>
      <c r="S29" s="1141" t="str">
        <f>IF(S$3&lt;&gt;$A$1,"",'Bau-Geometrie'!F43)</f>
        <v/>
      </c>
      <c r="T29" s="1142"/>
      <c r="U29" s="1142"/>
      <c r="V29" s="1141" t="str">
        <f>IF(V$3&lt;&gt;$A$1,"",'Bau-Geometrie'!G43)</f>
        <v/>
      </c>
      <c r="W29" s="1142"/>
      <c r="X29" s="1142"/>
      <c r="Y29" s="1141" t="str">
        <f>IF(Y$3&lt;&gt;$A$1,"",'Bau-Geometrie'!H43)</f>
        <v/>
      </c>
      <c r="Z29" s="1142"/>
      <c r="AA29" s="1143"/>
      <c r="AB29" s="78"/>
    </row>
    <row r="30" spans="6:28" s="56" customFormat="1" ht="14.25" customHeight="1">
      <c r="F30" s="180" t="s">
        <v>459</v>
      </c>
      <c r="G30" s="901"/>
      <c r="H30" s="131" t="s">
        <v>62</v>
      </c>
      <c r="I30" s="181"/>
      <c r="J30" s="1141" t="str">
        <f>IF(J$3&lt;&gt;$A$1,"",'Bau-Geometrie'!C44)</f>
        <v/>
      </c>
      <c r="K30" s="1142"/>
      <c r="L30" s="1142"/>
      <c r="M30" s="1141" t="str">
        <f>IF(M$3&lt;&gt;$A$1,"",'Bau-Geometrie'!D44)</f>
        <v/>
      </c>
      <c r="N30" s="1142"/>
      <c r="O30" s="1142"/>
      <c r="P30" s="1141" t="str">
        <f>IF(P$3&lt;&gt;$A$1,"",'Bau-Geometrie'!E44)</f>
        <v/>
      </c>
      <c r="Q30" s="1142"/>
      <c r="R30" s="1142"/>
      <c r="S30" s="1141" t="str">
        <f>IF(S$3&lt;&gt;$A$1,"",'Bau-Geometrie'!F44)</f>
        <v/>
      </c>
      <c r="T30" s="1142"/>
      <c r="U30" s="1142"/>
      <c r="V30" s="1141" t="str">
        <f>IF(V$3&lt;&gt;$A$1,"",'Bau-Geometrie'!G44)</f>
        <v/>
      </c>
      <c r="W30" s="1142"/>
      <c r="X30" s="1142"/>
      <c r="Y30" s="1141" t="str">
        <f>IF(Y$3&lt;&gt;$A$1,"",'Bau-Geometrie'!H44)</f>
        <v/>
      </c>
      <c r="Z30" s="1142"/>
      <c r="AA30" s="1143"/>
      <c r="AB30" s="78"/>
    </row>
    <row r="31" spans="6:28" s="56" customFormat="1" ht="14.25" customHeight="1">
      <c r="F31" s="187" t="s">
        <v>460</v>
      </c>
      <c r="G31" s="902"/>
      <c r="H31" s="136" t="s">
        <v>461</v>
      </c>
      <c r="I31" s="195"/>
      <c r="J31" s="1161" t="str">
        <f>IF(J$3&lt;&gt;$A$1,"",'Bau-Geometrie'!C45)</f>
        <v/>
      </c>
      <c r="K31" s="1162"/>
      <c r="L31" s="1162"/>
      <c r="M31" s="1161" t="str">
        <f>IF(M$3&lt;&gt;$A$1,"",'Bau-Geometrie'!D45)</f>
        <v/>
      </c>
      <c r="N31" s="1162"/>
      <c r="O31" s="1162"/>
      <c r="P31" s="1161" t="str">
        <f>IF(P$3&lt;&gt;$A$1,"",'Bau-Geometrie'!E45)</f>
        <v/>
      </c>
      <c r="Q31" s="1162"/>
      <c r="R31" s="1162"/>
      <c r="S31" s="1161" t="str">
        <f>IF(S$3&lt;&gt;$A$1,"",'Bau-Geometrie'!F45)</f>
        <v/>
      </c>
      <c r="T31" s="1162"/>
      <c r="U31" s="1162"/>
      <c r="V31" s="1161" t="str">
        <f>IF(V$3&lt;&gt;$A$1,"",'Bau-Geometrie'!G45)</f>
        <v/>
      </c>
      <c r="W31" s="1162"/>
      <c r="X31" s="1162"/>
      <c r="Y31" s="1161" t="str">
        <f>IF(Y$3&lt;&gt;$A$1,"",'Bau-Geometrie'!H45)</f>
        <v/>
      </c>
      <c r="Z31" s="1162"/>
      <c r="AA31" s="1163"/>
      <c r="AB31" s="78"/>
    </row>
    <row r="32" spans="6:28" s="56" customFormat="1" ht="14.25" customHeight="1">
      <c r="F32" s="196" t="s">
        <v>88</v>
      </c>
      <c r="G32" s="197"/>
      <c r="H32" s="141" t="s">
        <v>5</v>
      </c>
      <c r="I32" s="198"/>
      <c r="J32" s="1164" t="str">
        <f>IF(J$3&lt;&gt;$A$1,"",'Bau-Geometrie'!C46)</f>
        <v/>
      </c>
      <c r="K32" s="1165"/>
      <c r="L32" s="1165"/>
      <c r="M32" s="1164" t="str">
        <f>IF(M$3&lt;&gt;$A$1,"",'Bau-Geometrie'!D46)</f>
        <v/>
      </c>
      <c r="N32" s="1165"/>
      <c r="O32" s="1165"/>
      <c r="P32" s="1164" t="str">
        <f>IF(P$3&lt;&gt;$A$1,"",'Bau-Geometrie'!E46)</f>
        <v/>
      </c>
      <c r="Q32" s="1165"/>
      <c r="R32" s="1165"/>
      <c r="S32" s="1164" t="str">
        <f>IF(S$3&lt;&gt;$A$1,"",'Bau-Geometrie'!F46)</f>
        <v/>
      </c>
      <c r="T32" s="1165"/>
      <c r="U32" s="1165"/>
      <c r="V32" s="1164" t="str">
        <f>IF(V$3&lt;&gt;$A$1,"",'Bau-Geometrie'!G46)</f>
        <v/>
      </c>
      <c r="W32" s="1165"/>
      <c r="X32" s="1165"/>
      <c r="Y32" s="1164" t="str">
        <f>IF(Y$3&lt;&gt;$A$1,"",'Bau-Geometrie'!H46)</f>
        <v/>
      </c>
      <c r="Z32" s="1165"/>
      <c r="AA32" s="1166"/>
      <c r="AB32" s="78"/>
    </row>
    <row r="33" spans="1:28" s="56" customFormat="1" ht="14.25" customHeight="1">
      <c r="F33" s="185" t="s">
        <v>465</v>
      </c>
      <c r="G33" s="203"/>
      <c r="H33" s="140" t="s">
        <v>461</v>
      </c>
      <c r="I33" s="191"/>
      <c r="J33" s="1158" t="str">
        <f>IF(J$3&lt;&gt;$A$1,"",'Bau-Geometrie'!C47)</f>
        <v/>
      </c>
      <c r="K33" s="1159"/>
      <c r="L33" s="1159"/>
      <c r="M33" s="1158" t="str">
        <f>IF(M$3&lt;&gt;$A$1,"",'Bau-Geometrie'!D47)</f>
        <v/>
      </c>
      <c r="N33" s="1159"/>
      <c r="O33" s="1159"/>
      <c r="P33" s="1158" t="str">
        <f>IF(P$3&lt;&gt;$A$1,"",'Bau-Geometrie'!E47)</f>
        <v/>
      </c>
      <c r="Q33" s="1159"/>
      <c r="R33" s="1159"/>
      <c r="S33" s="1158" t="str">
        <f>IF(S$3&lt;&gt;$A$1,"",'Bau-Geometrie'!F47)</f>
        <v/>
      </c>
      <c r="T33" s="1159"/>
      <c r="U33" s="1159"/>
      <c r="V33" s="1158" t="str">
        <f>IF(V$3&lt;&gt;$A$1,"",'Bau-Geometrie'!G47)</f>
        <v/>
      </c>
      <c r="W33" s="1159"/>
      <c r="X33" s="1159"/>
      <c r="Y33" s="1158" t="str">
        <f>IF(Y$3&lt;&gt;$A$1,"",'Bau-Geometrie'!H47)</f>
        <v/>
      </c>
      <c r="Z33" s="1159"/>
      <c r="AA33" s="1160"/>
      <c r="AB33" s="78"/>
    </row>
    <row r="34" spans="1:28" ht="14.25" customHeight="1">
      <c r="E34" s="55"/>
      <c r="F34" s="877" t="s">
        <v>507</v>
      </c>
      <c r="G34" s="135"/>
      <c r="H34" s="136" t="s">
        <v>461</v>
      </c>
      <c r="I34" s="439"/>
      <c r="J34" s="1090" t="str">
        <f>IF(J$3&lt;&gt;$A$1,"",'Bau-Geometrie'!C48)</f>
        <v/>
      </c>
      <c r="K34" s="1091"/>
      <c r="L34" s="1091"/>
      <c r="M34" s="1090" t="str">
        <f>IF(M$3&lt;&gt;$A$1,"",'Bau-Geometrie'!D48)</f>
        <v/>
      </c>
      <c r="N34" s="1091"/>
      <c r="O34" s="1091"/>
      <c r="P34" s="1090" t="str">
        <f>IF(P$3&lt;&gt;$A$1,"",'Bau-Geometrie'!E48)</f>
        <v/>
      </c>
      <c r="Q34" s="1091"/>
      <c r="R34" s="1091"/>
      <c r="S34" s="1090" t="str">
        <f>IF(S$3&lt;&gt;$A$1,"",'Bau-Geometrie'!F48)</f>
        <v/>
      </c>
      <c r="T34" s="1091"/>
      <c r="U34" s="1091"/>
      <c r="V34" s="1090" t="str">
        <f>IF(V$3&lt;&gt;$A$1,"",'Bau-Geometrie'!G48)</f>
        <v/>
      </c>
      <c r="W34" s="1091"/>
      <c r="X34" s="1091"/>
      <c r="Y34" s="1090" t="str">
        <f>IF(Y$3&lt;&gt;$A$1,"",'Bau-Geometrie'!H48)</f>
        <v/>
      </c>
      <c r="Z34" s="1091"/>
      <c r="AA34" s="1092"/>
      <c r="AB34" s="10"/>
    </row>
    <row r="35" spans="1:28" ht="14.25" customHeight="1">
      <c r="F35" s="175" t="s">
        <v>52</v>
      </c>
      <c r="G35" s="550"/>
      <c r="H35" s="898" t="s">
        <v>5</v>
      </c>
      <c r="I35" s="551"/>
      <c r="J35" s="1099" t="str">
        <f>IF(J$3&lt;&gt;$A$1,"",Tunneldaten!E13)</f>
        <v/>
      </c>
      <c r="K35" s="1100"/>
      <c r="L35" s="1101"/>
      <c r="M35" s="1099" t="str">
        <f>IF(M$3&lt;&gt;$A$1,"",Tunneldaten!F13)</f>
        <v/>
      </c>
      <c r="N35" s="1100"/>
      <c r="O35" s="1101"/>
      <c r="P35" s="1099" t="str">
        <f>IF(P$3&lt;&gt;$A$1,"",Tunneldaten!G13)</f>
        <v/>
      </c>
      <c r="Q35" s="1100"/>
      <c r="R35" s="1101"/>
      <c r="S35" s="1099" t="str">
        <f>IF(S$3&lt;&gt;$A$1,"",Tunneldaten!H13)</f>
        <v/>
      </c>
      <c r="T35" s="1100"/>
      <c r="U35" s="1101"/>
      <c r="V35" s="1099" t="str">
        <f>IF(V$3&lt;&gt;$A$1,"",Tunneldaten!I13)</f>
        <v/>
      </c>
      <c r="W35" s="1100"/>
      <c r="X35" s="1101"/>
      <c r="Y35" s="1099" t="str">
        <f>IF(Y$3&lt;&gt;$A$1,"",Tunneldaten!J13)</f>
        <v/>
      </c>
      <c r="Z35" s="1100"/>
      <c r="AA35" s="1101"/>
      <c r="AB35" s="10"/>
    </row>
    <row r="36" spans="1:28" ht="14.25" customHeight="1">
      <c r="F36" s="177" t="s">
        <v>508</v>
      </c>
      <c r="G36" s="549"/>
      <c r="H36" s="903" t="s">
        <v>54</v>
      </c>
      <c r="I36" s="426"/>
      <c r="J36" s="1043" t="str">
        <f>IF(J$3&lt;&gt;$A$1,"",IF(J$35=1,Tunneldaten!$E$57,IF(J$35=2,Tunneldaten!$F$57,IF(J$35=3,Tunneldaten!$G$57,Tunneldaten!$H$57))))</f>
        <v/>
      </c>
      <c r="K36" s="1044"/>
      <c r="L36" s="1045"/>
      <c r="M36" s="1043" t="str">
        <f>IF(M$3&lt;&gt;$A$1,"",IF(M$35=1,Tunneldaten!$E$57,IF(M$35=2,Tunneldaten!$F$57,IF(M$35=3,Tunneldaten!$G$57,Tunneldaten!$H$57))))</f>
        <v/>
      </c>
      <c r="N36" s="1044"/>
      <c r="O36" s="1045"/>
      <c r="P36" s="1043" t="str">
        <f>IF(P$3&lt;&gt;$A$1,"",IF(P$35=1,Tunneldaten!$E$57,IF(P$35=2,Tunneldaten!$F$57,IF(P$35=3,Tunneldaten!$G$57,Tunneldaten!$H$57))))</f>
        <v/>
      </c>
      <c r="Q36" s="1044"/>
      <c r="R36" s="1045"/>
      <c r="S36" s="1043" t="str">
        <f>IF(S$3&lt;&gt;$A$1,"",IF(S$35=1,Tunneldaten!$E$57,IF(S$35=2,Tunneldaten!$F$57,IF(S$35=3,Tunneldaten!$G$57,Tunneldaten!$H$57))))</f>
        <v/>
      </c>
      <c r="T36" s="1044"/>
      <c r="U36" s="1045"/>
      <c r="V36" s="1043" t="str">
        <f>IF(V$3&lt;&gt;$A$1,"",IF(V$35=1,Tunneldaten!$E$57,IF(V$35=2,Tunneldaten!$F$57,IF(V$35=3,Tunneldaten!$G$57,Tunneldaten!$H$57))))</f>
        <v/>
      </c>
      <c r="W36" s="1044"/>
      <c r="X36" s="1045"/>
      <c r="Y36" s="1043" t="str">
        <f>IF(Y$3&lt;&gt;$A$1,"",IF(Y$35=1,Tunneldaten!$E$57,IF(Y$35=2,Tunneldaten!$F$57,IF(Y$35=3,Tunneldaten!$G$57,Tunneldaten!$H$57))))</f>
        <v/>
      </c>
      <c r="Z36" s="1044"/>
      <c r="AA36" s="1045"/>
      <c r="AB36" s="10"/>
    </row>
    <row r="37" spans="1:28" ht="14.25" customHeight="1">
      <c r="F37" s="180" t="s">
        <v>509</v>
      </c>
      <c r="G37" s="546"/>
      <c r="H37" s="547" t="s">
        <v>54</v>
      </c>
      <c r="I37" s="429"/>
      <c r="J37" s="1043" t="str">
        <f>IF(J$3&lt;&gt;$A$1,"",IF(J$35=1,Tunneldaten!$E$58,IF(J$35=2,Tunneldaten!$F$58,IF(J$35=3,Tunneldaten!$G$58,Tunneldaten!$H$58))))</f>
        <v/>
      </c>
      <c r="K37" s="1044"/>
      <c r="L37" s="1045"/>
      <c r="M37" s="1043" t="str">
        <f>IF(M$3&lt;&gt;$A$1,"",IF(M$35=1,Tunneldaten!$E$58,IF(M$35=2,Tunneldaten!$F$58,IF(M$35=3,Tunneldaten!$G$58,Tunneldaten!$H$58))))</f>
        <v/>
      </c>
      <c r="N37" s="1044"/>
      <c r="O37" s="1045"/>
      <c r="P37" s="1043" t="str">
        <f>IF(P$3&lt;&gt;$A$1,"",IF(P$35=1,Tunneldaten!$E$58,IF(P$35=2,Tunneldaten!$F$58,IF(P$35=3,Tunneldaten!$G$58,Tunneldaten!$H$58))))</f>
        <v/>
      </c>
      <c r="Q37" s="1044"/>
      <c r="R37" s="1045"/>
      <c r="S37" s="1043" t="str">
        <f>IF(S$3&lt;&gt;$A$1,"",IF(S$35=1,Tunneldaten!$E$58,IF(S$35=2,Tunneldaten!$F$58,IF(S$35=3,Tunneldaten!$G$58,Tunneldaten!$H$58))))</f>
        <v/>
      </c>
      <c r="T37" s="1044"/>
      <c r="U37" s="1045"/>
      <c r="V37" s="1043" t="str">
        <f>IF(V$3&lt;&gt;$A$1,"",IF(V$35=1,Tunneldaten!$E$58,IF(V$35=2,Tunneldaten!$F$58,IF(V$35=3,Tunneldaten!$G$58,Tunneldaten!$H$58))))</f>
        <v/>
      </c>
      <c r="W37" s="1044"/>
      <c r="X37" s="1045"/>
      <c r="Y37" s="1043" t="str">
        <f>IF(Y$3&lt;&gt;$A$1,"",IF(Y$35=1,Tunneldaten!$E$58,IF(Y$35=2,Tunneldaten!$F$58,IF(Y$35=3,Tunneldaten!$G$58,Tunneldaten!$H$58))))</f>
        <v/>
      </c>
      <c r="Z37" s="1044"/>
      <c r="AA37" s="1045"/>
      <c r="AB37" s="10"/>
    </row>
    <row r="38" spans="1:28" ht="14.25" customHeight="1">
      <c r="F38" s="180" t="s">
        <v>510</v>
      </c>
      <c r="G38" s="546"/>
      <c r="H38" s="547" t="s">
        <v>54</v>
      </c>
      <c r="I38" s="429"/>
      <c r="J38" s="1043" t="str">
        <f>IF(J$3&lt;&gt;$A$1,"",IF(J$35=1,Tunneldaten!$E$59,IF(J$35=2,Tunneldaten!$F$59,IF(J$35=3,Tunneldaten!$G$59,Tunneldaten!$H$59))))</f>
        <v/>
      </c>
      <c r="K38" s="1044"/>
      <c r="L38" s="1045"/>
      <c r="M38" s="1043" t="str">
        <f>IF(M$3&lt;&gt;$A$1,"",IF(M$35=1,Tunneldaten!$E$59,IF(M$35=2,Tunneldaten!$F$59,IF(M$35=3,Tunneldaten!$G$59,Tunneldaten!$H$59))))</f>
        <v/>
      </c>
      <c r="N38" s="1044"/>
      <c r="O38" s="1045"/>
      <c r="P38" s="1043" t="str">
        <f>IF(P$3&lt;&gt;$A$1,"",IF(P$35=1,Tunneldaten!$E$59,IF(P$35=2,Tunneldaten!$F$59,IF(P$35=3,Tunneldaten!$G$59,Tunneldaten!$H$59))))</f>
        <v/>
      </c>
      <c r="Q38" s="1044"/>
      <c r="R38" s="1045"/>
      <c r="S38" s="1043" t="str">
        <f>IF(S$3&lt;&gt;$A$1,"",IF(S$35=1,Tunneldaten!$E$59,IF(S$35=2,Tunneldaten!$F$59,IF(S$35=3,Tunneldaten!$G$59,Tunneldaten!$H$59))))</f>
        <v/>
      </c>
      <c r="T38" s="1044"/>
      <c r="U38" s="1045"/>
      <c r="V38" s="1043" t="str">
        <f>IF(V$3&lt;&gt;$A$1,"",IF(V$35=1,Tunneldaten!$E$59,IF(V$35=2,Tunneldaten!$F$59,IF(V$35=3,Tunneldaten!$G$59,Tunneldaten!$H$59))))</f>
        <v/>
      </c>
      <c r="W38" s="1044"/>
      <c r="X38" s="1045"/>
      <c r="Y38" s="1043" t="str">
        <f>IF(Y$3&lt;&gt;$A$1,"",IF(Y$35=1,Tunneldaten!$E$59,IF(Y$35=2,Tunneldaten!$F$59,IF(Y$35=3,Tunneldaten!$G$59,Tunneldaten!$H$59))))</f>
        <v/>
      </c>
      <c r="Z38" s="1044"/>
      <c r="AA38" s="1045"/>
      <c r="AB38" s="10"/>
    </row>
    <row r="39" spans="1:28" ht="14.25" customHeight="1">
      <c r="F39" s="180" t="s">
        <v>511</v>
      </c>
      <c r="G39" s="546"/>
      <c r="H39" s="547" t="s">
        <v>54</v>
      </c>
      <c r="I39" s="429"/>
      <c r="J39" s="1043" t="str">
        <f>IF(J$3&lt;&gt;$A$1,"",IF(J$35=1,Tunneldaten!$E$61,IF(J$35=2,Tunneldaten!$F$61,IF(J$35=3,Tunneldaten!$G$61,Tunneldaten!$H$61))))</f>
        <v/>
      </c>
      <c r="K39" s="1044"/>
      <c r="L39" s="1045"/>
      <c r="M39" s="1043" t="str">
        <f>IF(M$3&lt;&gt;$A$1,"",IF(M$35=1,Tunneldaten!$E$61,IF(M$35=2,Tunneldaten!$F$61,IF(M$35=3,Tunneldaten!$G$61,Tunneldaten!$H$61))))</f>
        <v/>
      </c>
      <c r="N39" s="1044"/>
      <c r="O39" s="1045"/>
      <c r="P39" s="1043" t="str">
        <f>IF(P$3&lt;&gt;$A$1,"",IF(P$35=1,Tunneldaten!$E$61,IF(P$35=2,Tunneldaten!$F$61,IF(P$35=3,Tunneldaten!$G$61,Tunneldaten!$H$61))))</f>
        <v/>
      </c>
      <c r="Q39" s="1044"/>
      <c r="R39" s="1045"/>
      <c r="S39" s="1043" t="str">
        <f>IF(S$3&lt;&gt;$A$1,"",IF(S$35=1,Tunneldaten!$E$61,IF(S$35=2,Tunneldaten!$F$61,IF(S$35=3,Tunneldaten!$G$61,Tunneldaten!$H$61))))</f>
        <v/>
      </c>
      <c r="T39" s="1044"/>
      <c r="U39" s="1045"/>
      <c r="V39" s="1043" t="str">
        <f>IF(V$3&lt;&gt;$A$1,"",IF(V$35=1,Tunneldaten!$E$61,IF(V$35=2,Tunneldaten!$F$61,IF(V$35=3,Tunneldaten!$G$61,Tunneldaten!$H$61))))</f>
        <v/>
      </c>
      <c r="W39" s="1044"/>
      <c r="X39" s="1045"/>
      <c r="Y39" s="1043" t="str">
        <f>IF(Y$3&lt;&gt;$A$1,"",IF(Y$35=1,Tunneldaten!$E$61,IF(Y$35=2,Tunneldaten!$F$61,IF(Y$35=3,Tunneldaten!$G$61,Tunneldaten!$H$61))))</f>
        <v/>
      </c>
      <c r="Z39" s="1044"/>
      <c r="AA39" s="1045"/>
      <c r="AB39" s="10"/>
    </row>
    <row r="40" spans="1:28" ht="14.25" customHeight="1">
      <c r="A40" s="79"/>
      <c r="B40" s="79"/>
      <c r="C40" s="79"/>
      <c r="D40" s="79"/>
      <c r="E40" s="50"/>
      <c r="F40" s="180" t="s">
        <v>512</v>
      </c>
      <c r="G40" s="546"/>
      <c r="H40" s="547" t="s">
        <v>54</v>
      </c>
      <c r="I40" s="429"/>
      <c r="J40" s="1043" t="str">
        <f>IF(J$3&lt;&gt;$A$1,"",IF(J$35=1,Tunneldaten!$E$62,IF(J$35=2,Tunneldaten!$F$62,IF(J$35=3,Tunneldaten!$G$62,Tunneldaten!$H$62))))</f>
        <v/>
      </c>
      <c r="K40" s="1044"/>
      <c r="L40" s="1045"/>
      <c r="M40" s="1043" t="str">
        <f>IF(M$3&lt;&gt;$A$1,"",IF(M$35=1,Tunneldaten!$E$62,IF(M$35=2,Tunneldaten!$F$62,IF(M$35=3,Tunneldaten!$G$62,Tunneldaten!$H$62))))</f>
        <v/>
      </c>
      <c r="N40" s="1044"/>
      <c r="O40" s="1045"/>
      <c r="P40" s="1043" t="str">
        <f>IF(P$3&lt;&gt;$A$1,"",IF(P$35=1,Tunneldaten!$E$62,IF(P$35=2,Tunneldaten!$F$62,IF(P$35=3,Tunneldaten!$G$62,Tunneldaten!$H$62))))</f>
        <v/>
      </c>
      <c r="Q40" s="1044"/>
      <c r="R40" s="1045"/>
      <c r="S40" s="1043" t="str">
        <f>IF(S$3&lt;&gt;$A$1,"",IF(S$35=1,Tunneldaten!$E$62,IF(S$35=2,Tunneldaten!$F$62,IF(S$35=3,Tunneldaten!$G$62,Tunneldaten!$H$62))))</f>
        <v/>
      </c>
      <c r="T40" s="1044"/>
      <c r="U40" s="1045"/>
      <c r="V40" s="1043" t="str">
        <f>IF(V$3&lt;&gt;$A$1,"",IF(V$35=1,Tunneldaten!$E$62,IF(V$35=2,Tunneldaten!$F$62,IF(V$35=3,Tunneldaten!$G$62,Tunneldaten!$H$62))))</f>
        <v/>
      </c>
      <c r="W40" s="1044"/>
      <c r="X40" s="1045"/>
      <c r="Y40" s="1043" t="str">
        <f>IF(Y$3&lt;&gt;$A$1,"",IF(Y$35=1,Tunneldaten!$E$62,IF(Y$35=2,Tunneldaten!$F$62,IF(Y$35=3,Tunneldaten!$G$62,Tunneldaten!$H$62))))</f>
        <v/>
      </c>
      <c r="Z40" s="1044"/>
      <c r="AA40" s="1045"/>
      <c r="AB40" s="10"/>
    </row>
    <row r="41" spans="1:28" ht="14.25" customHeight="1">
      <c r="E41" s="50"/>
      <c r="F41" s="187" t="s">
        <v>513</v>
      </c>
      <c r="G41" s="135"/>
      <c r="H41" s="548" t="s">
        <v>54</v>
      </c>
      <c r="I41" s="439"/>
      <c r="J41" s="1033" t="str">
        <f>IF(J$3&lt;&gt;$A$1,"",IF(J$35=1,Tunneldaten!$E$63,IF(J$35=2,Tunneldaten!$F$63,IF(J$35=3,Tunneldaten!$G$63,Tunneldaten!$H$63))))</f>
        <v/>
      </c>
      <c r="K41" s="1034"/>
      <c r="L41" s="1035"/>
      <c r="M41" s="1033" t="str">
        <f>IF(M$3&lt;&gt;$A$1,"",IF(M$35=1,Tunneldaten!$E$63,IF(M$35=2,Tunneldaten!$F$63,IF(M$35=3,Tunneldaten!$G$63,Tunneldaten!$H$63))))</f>
        <v/>
      </c>
      <c r="N41" s="1034"/>
      <c r="O41" s="1035"/>
      <c r="P41" s="1033" t="str">
        <f>IF(P$3&lt;&gt;$A$1,"",IF(P$35=1,Tunneldaten!$E$63,IF(P$35=2,Tunneldaten!$F$63,IF(P$35=3,Tunneldaten!$G$63,Tunneldaten!$H$63))))</f>
        <v/>
      </c>
      <c r="Q41" s="1034"/>
      <c r="R41" s="1035"/>
      <c r="S41" s="1033" t="str">
        <f>IF(S$3&lt;&gt;$A$1,"",IF(S$35=1,Tunneldaten!$E$63,IF(S$35=2,Tunneldaten!$F$63,IF(S$35=3,Tunneldaten!$G$63,Tunneldaten!$H$63))))</f>
        <v/>
      </c>
      <c r="T41" s="1034"/>
      <c r="U41" s="1035"/>
      <c r="V41" s="1033" t="str">
        <f>IF(V$3&lt;&gt;$A$1,"",IF(V$35=1,Tunneldaten!$E$63,IF(V$35=2,Tunneldaten!$F$63,IF(V$35=3,Tunneldaten!$G$63,Tunneldaten!$H$63))))</f>
        <v/>
      </c>
      <c r="W41" s="1034"/>
      <c r="X41" s="1035"/>
      <c r="Y41" s="1033" t="str">
        <f>IF(Y$3&lt;&gt;$A$1,"",IF(Y$35=1,Tunneldaten!$E$63,IF(Y$35=2,Tunneldaten!$F$63,IF(Y$35=3,Tunneldaten!$G$63,Tunneldaten!$H$63))))</f>
        <v/>
      </c>
      <c r="Z41" s="1034"/>
      <c r="AA41" s="1035"/>
      <c r="AB41" s="10"/>
    </row>
    <row r="42" spans="1:28" ht="14.25" customHeight="1">
      <c r="E42" s="55"/>
      <c r="F42" s="50"/>
      <c r="G42" s="53"/>
      <c r="H42" s="6"/>
      <c r="J42" s="1111"/>
      <c r="K42" s="975"/>
      <c r="L42" s="1112"/>
      <c r="M42" s="1111"/>
      <c r="N42" s="975"/>
      <c r="O42" s="975"/>
      <c r="P42" s="1111"/>
      <c r="Q42" s="975"/>
      <c r="R42" s="975"/>
      <c r="S42" s="1111"/>
      <c r="T42" s="975"/>
      <c r="U42" s="975"/>
      <c r="V42" s="1111"/>
      <c r="W42" s="975"/>
      <c r="X42" s="975"/>
      <c r="Y42" s="1111"/>
      <c r="Z42" s="975"/>
      <c r="AA42" s="1112"/>
      <c r="AB42" s="10"/>
    </row>
    <row r="43" spans="1:28" ht="14.25" customHeight="1">
      <c r="F43" s="134" t="s">
        <v>514</v>
      </c>
      <c r="G43" s="89"/>
      <c r="H43" s="897"/>
      <c r="I43" s="375"/>
      <c r="J43" s="1105"/>
      <c r="K43" s="1106"/>
      <c r="L43" s="1107"/>
      <c r="M43" s="1105"/>
      <c r="N43" s="1106"/>
      <c r="O43" s="1107"/>
      <c r="P43" s="1105"/>
      <c r="Q43" s="1106"/>
      <c r="R43" s="1106"/>
      <c r="S43" s="1105"/>
      <c r="T43" s="1106"/>
      <c r="U43" s="1106"/>
      <c r="V43" s="1105"/>
      <c r="W43" s="1106"/>
      <c r="X43" s="1106"/>
      <c r="Y43" s="1105"/>
      <c r="Z43" s="1106"/>
      <c r="AA43" s="1107"/>
      <c r="AB43" s="10"/>
    </row>
    <row r="44" spans="1:28" ht="9" customHeight="1">
      <c r="G44" s="5"/>
      <c r="H44" s="6"/>
      <c r="J44" s="1108"/>
      <c r="K44" s="1109"/>
      <c r="L44" s="1110"/>
      <c r="M44" s="1111"/>
      <c r="N44" s="975"/>
      <c r="O44" s="1112"/>
      <c r="P44" s="1111"/>
      <c r="Q44" s="975"/>
      <c r="R44" s="975"/>
      <c r="S44" s="1111"/>
      <c r="T44" s="975"/>
      <c r="U44" s="975"/>
      <c r="V44" s="1111"/>
      <c r="W44" s="975"/>
      <c r="X44" s="975"/>
      <c r="Y44" s="1111"/>
      <c r="Z44" s="975"/>
      <c r="AA44" s="1112"/>
      <c r="AB44" s="10"/>
    </row>
    <row r="45" spans="1:28" ht="14.25" customHeight="1">
      <c r="F45" s="376" t="s">
        <v>163</v>
      </c>
      <c r="G45" s="137"/>
      <c r="H45" s="377" t="s">
        <v>369</v>
      </c>
      <c r="I45" s="378"/>
      <c r="J45" s="1102">
        <f>MROUND(IFERROR(SUMIF($A$64:$A$81,$F45,K$64:K$81),0),10)</f>
        <v>0</v>
      </c>
      <c r="K45" s="1103"/>
      <c r="L45" s="1104"/>
      <c r="M45" s="1102">
        <f t="shared" ref="M45:Y48" si="0">MROUND(IFERROR(SUMIF($A$64:$A$81,$F45,N$64:N$81),0),10)</f>
        <v>0</v>
      </c>
      <c r="N45" s="1103"/>
      <c r="O45" s="1104"/>
      <c r="P45" s="1102">
        <f t="shared" ref="P45" si="1">MROUND(IFERROR(SUMIF($A$64:$A$81,$F45,Q$64:Q$81),0),10)</f>
        <v>0</v>
      </c>
      <c r="Q45" s="1103"/>
      <c r="R45" s="1104"/>
      <c r="S45" s="1102">
        <f t="shared" ref="S45" si="2">MROUND(IFERROR(SUMIF($A$64:$A$81,$F45,T$64:T$81),0),10)</f>
        <v>0</v>
      </c>
      <c r="T45" s="1103"/>
      <c r="U45" s="1104"/>
      <c r="V45" s="1102">
        <f t="shared" ref="V45" si="3">MROUND(IFERROR(SUMIF($A$64:$A$81,$F45,W$64:W$81),0),10)</f>
        <v>0</v>
      </c>
      <c r="W45" s="1103"/>
      <c r="X45" s="1104"/>
      <c r="Y45" s="1102">
        <f t="shared" ref="Y45" si="4">MROUND(IFERROR(SUMIF($A$64:$A$81,$F45,Z$64:Z$81),0),10)</f>
        <v>0</v>
      </c>
      <c r="Z45" s="1103"/>
      <c r="AA45" s="1104"/>
      <c r="AB45" s="10"/>
    </row>
    <row r="46" spans="1:28" ht="14.25" customHeight="1">
      <c r="F46" s="419" t="s">
        <v>166</v>
      </c>
      <c r="G46" s="88"/>
      <c r="H46" s="380" t="s">
        <v>369</v>
      </c>
      <c r="I46" s="381"/>
      <c r="J46" s="1040">
        <f>MROUND(IFERROR(SUMIF($A$64:$A$81,$F46,K$64:K$81),0),10)</f>
        <v>0</v>
      </c>
      <c r="K46" s="1041"/>
      <c r="L46" s="1042"/>
      <c r="M46" s="1040">
        <f t="shared" si="0"/>
        <v>0</v>
      </c>
      <c r="N46" s="1041"/>
      <c r="O46" s="1042"/>
      <c r="P46" s="1040">
        <f t="shared" si="0"/>
        <v>0</v>
      </c>
      <c r="Q46" s="1041"/>
      <c r="R46" s="1042"/>
      <c r="S46" s="1040">
        <f t="shared" si="0"/>
        <v>0</v>
      </c>
      <c r="T46" s="1041"/>
      <c r="U46" s="1042"/>
      <c r="V46" s="1040">
        <f t="shared" si="0"/>
        <v>0</v>
      </c>
      <c r="W46" s="1041"/>
      <c r="X46" s="1042"/>
      <c r="Y46" s="1040">
        <f t="shared" si="0"/>
        <v>0</v>
      </c>
      <c r="Z46" s="1041"/>
      <c r="AA46" s="1042"/>
      <c r="AB46" s="10"/>
    </row>
    <row r="47" spans="1:28" ht="14.25" customHeight="1">
      <c r="A47" s="79"/>
      <c r="B47" s="79"/>
      <c r="C47" s="79"/>
      <c r="D47" s="79"/>
      <c r="F47" s="419" t="s">
        <v>168</v>
      </c>
      <c r="G47" s="88"/>
      <c r="H47" s="380" t="s">
        <v>369</v>
      </c>
      <c r="I47" s="381"/>
      <c r="J47" s="1040">
        <f t="shared" ref="J47:J48" si="5">MROUND(IFERROR(SUMIF($A$64:$A$81,$F47,K$64:K$81),0),10)</f>
        <v>0</v>
      </c>
      <c r="K47" s="1041"/>
      <c r="L47" s="1042"/>
      <c r="M47" s="1040">
        <f t="shared" si="0"/>
        <v>0</v>
      </c>
      <c r="N47" s="1041"/>
      <c r="O47" s="1042"/>
      <c r="P47" s="1040">
        <f t="shared" si="0"/>
        <v>0</v>
      </c>
      <c r="Q47" s="1041"/>
      <c r="R47" s="1042"/>
      <c r="S47" s="1040">
        <f t="shared" si="0"/>
        <v>0</v>
      </c>
      <c r="T47" s="1041"/>
      <c r="U47" s="1042"/>
      <c r="V47" s="1040">
        <f t="shared" si="0"/>
        <v>0</v>
      </c>
      <c r="W47" s="1041"/>
      <c r="X47" s="1042"/>
      <c r="Y47" s="1040">
        <f t="shared" si="0"/>
        <v>0</v>
      </c>
      <c r="Z47" s="1041"/>
      <c r="AA47" s="1042"/>
      <c r="AB47" s="10"/>
    </row>
    <row r="48" spans="1:28" ht="14.25" customHeight="1">
      <c r="F48" s="554" t="s">
        <v>497</v>
      </c>
      <c r="G48" s="555"/>
      <c r="H48" s="556" t="s">
        <v>369</v>
      </c>
      <c r="I48" s="557"/>
      <c r="J48" s="1040">
        <f t="shared" si="5"/>
        <v>0</v>
      </c>
      <c r="K48" s="1041"/>
      <c r="L48" s="1042"/>
      <c r="M48" s="1040">
        <f t="shared" si="0"/>
        <v>0</v>
      </c>
      <c r="N48" s="1041"/>
      <c r="O48" s="1042"/>
      <c r="P48" s="1040">
        <f t="shared" si="0"/>
        <v>0</v>
      </c>
      <c r="Q48" s="1041"/>
      <c r="R48" s="1042"/>
      <c r="S48" s="1040">
        <f t="shared" si="0"/>
        <v>0</v>
      </c>
      <c r="T48" s="1041"/>
      <c r="U48" s="1042"/>
      <c r="V48" s="1040">
        <f t="shared" si="0"/>
        <v>0</v>
      </c>
      <c r="W48" s="1041"/>
      <c r="X48" s="1042"/>
      <c r="Y48" s="1040">
        <f t="shared" si="0"/>
        <v>0</v>
      </c>
      <c r="Z48" s="1041"/>
      <c r="AA48" s="1042"/>
      <c r="AB48" s="10"/>
    </row>
    <row r="49" spans="1:28" ht="14.25" customHeight="1">
      <c r="F49" s="382" t="s">
        <v>104</v>
      </c>
      <c r="G49" s="384"/>
      <c r="H49" s="383" t="s">
        <v>369</v>
      </c>
      <c r="I49" s="384"/>
      <c r="J49" s="1130">
        <f>ROUND(IFERROR(SUMIF($A$64:$A$81,$F49,K$64:K$81),0),-1)</f>
        <v>0</v>
      </c>
      <c r="K49" s="1131"/>
      <c r="L49" s="1132"/>
      <c r="M49" s="1130">
        <f t="shared" ref="M49" si="6">ROUND(IFERROR(SUMIF($A$64:$A$81,$F49,N$64:N$81),0),-1)</f>
        <v>0</v>
      </c>
      <c r="N49" s="1131"/>
      <c r="O49" s="1132"/>
      <c r="P49" s="1130">
        <f t="shared" ref="P49" si="7">ROUND(IFERROR(SUMIF($A$64:$A$81,$F49,Q$64:Q$81),0),-1)</f>
        <v>0</v>
      </c>
      <c r="Q49" s="1131"/>
      <c r="R49" s="1132"/>
      <c r="S49" s="1130">
        <f t="shared" ref="S49" si="8">ROUND(IFERROR(SUMIF($A$64:$A$81,$F49,T$64:T$81),0),-1)</f>
        <v>0</v>
      </c>
      <c r="T49" s="1131"/>
      <c r="U49" s="1132"/>
      <c r="V49" s="1130">
        <f t="shared" ref="V49" si="9">ROUND(IFERROR(SUMIF($A$64:$A$81,$F49,W$64:W$81),0),-1)</f>
        <v>0</v>
      </c>
      <c r="W49" s="1131"/>
      <c r="X49" s="1132"/>
      <c r="Y49" s="1130">
        <f t="shared" ref="Y49" si="10">ROUND(IFERROR(SUMIF($A$64:$A$81,$F49,Z$64:Z$81),0),-1)</f>
        <v>0</v>
      </c>
      <c r="Z49" s="1131"/>
      <c r="AA49" s="1132"/>
      <c r="AB49" s="10"/>
    </row>
    <row r="50" spans="1:28" ht="14.25" customHeight="1">
      <c r="F50" s="50"/>
      <c r="G50" s="53"/>
      <c r="H50" s="271"/>
      <c r="J50" s="10"/>
      <c r="K50" s="64"/>
      <c r="L50" s="271"/>
      <c r="M50" s="86"/>
      <c r="N50" s="271"/>
      <c r="O50" s="50"/>
      <c r="P50" s="416"/>
      <c r="Q50" s="50"/>
      <c r="R50" s="271"/>
      <c r="S50" s="86"/>
      <c r="T50" s="271"/>
      <c r="U50" s="50"/>
      <c r="V50" s="416"/>
      <c r="Y50" s="10"/>
      <c r="AB50" s="10"/>
    </row>
    <row r="51" spans="1:28" ht="14.25" customHeight="1">
      <c r="F51" s="133" t="s">
        <v>515</v>
      </c>
      <c r="G51" s="89"/>
      <c r="H51" s="897" t="s">
        <v>369</v>
      </c>
      <c r="I51" s="375"/>
      <c r="J51" s="1117"/>
      <c r="K51" s="1118"/>
      <c r="L51" s="1119"/>
      <c r="M51" s="1105"/>
      <c r="N51" s="1106"/>
      <c r="O51" s="1107"/>
      <c r="P51" s="1105"/>
      <c r="Q51" s="1106"/>
      <c r="R51" s="1106"/>
      <c r="S51" s="1105"/>
      <c r="T51" s="1106"/>
      <c r="U51" s="1106"/>
      <c r="V51" s="1105"/>
      <c r="W51" s="1106"/>
      <c r="X51" s="1106"/>
      <c r="Y51" s="1105"/>
      <c r="Z51" s="1106"/>
      <c r="AA51" s="1107"/>
      <c r="AB51" s="10"/>
    </row>
    <row r="52" spans="1:28" ht="9" customHeight="1">
      <c r="G52" s="5"/>
      <c r="H52" s="6"/>
      <c r="J52" s="1108"/>
      <c r="K52" s="1109"/>
      <c r="L52" s="1110"/>
      <c r="M52" s="1111"/>
      <c r="N52" s="975"/>
      <c r="O52" s="1112"/>
      <c r="P52" s="1111"/>
      <c r="Q52" s="975"/>
      <c r="R52" s="975"/>
      <c r="S52" s="1111"/>
      <c r="T52" s="975"/>
      <c r="U52" s="975"/>
      <c r="V52" s="1111"/>
      <c r="W52" s="975"/>
      <c r="X52" s="975"/>
      <c r="Y52" s="1111"/>
      <c r="Z52" s="975"/>
      <c r="AA52" s="1112"/>
      <c r="AB52" s="10"/>
    </row>
    <row r="53" spans="1:28" ht="14.25" customHeight="1">
      <c r="F53" s="376" t="s">
        <v>189</v>
      </c>
      <c r="G53" s="137"/>
      <c r="H53" s="377" t="s">
        <v>516</v>
      </c>
      <c r="I53" s="378"/>
      <c r="J53" s="1114">
        <f>IFERROR(SUMIF($F$64:$F$81,$F53,L$64:L$81),0)</f>
        <v>0</v>
      </c>
      <c r="K53" s="1115"/>
      <c r="L53" s="1116"/>
      <c r="M53" s="1114">
        <f t="shared" ref="M53:M54" si="11">IFERROR(SUMIF($F$64:$F$81,$F53,O$64:O$81),0)</f>
        <v>0</v>
      </c>
      <c r="N53" s="1115"/>
      <c r="O53" s="1116"/>
      <c r="P53" s="1114">
        <f t="shared" ref="P53:P54" si="12">IFERROR(SUMIF($F$64:$F$81,$F53,R$64:R$81),0)</f>
        <v>0</v>
      </c>
      <c r="Q53" s="1115"/>
      <c r="R53" s="1116"/>
      <c r="S53" s="1114">
        <f t="shared" ref="S53:S54" si="13">IFERROR(SUMIF($F$64:$F$81,$F53,U$64:U$81),0)</f>
        <v>0</v>
      </c>
      <c r="T53" s="1115"/>
      <c r="U53" s="1116"/>
      <c r="V53" s="1114">
        <f t="shared" ref="V53:V54" si="14">IFERROR(SUMIF($F$64:$F$81,$F53,X$64:X$81),0)</f>
        <v>0</v>
      </c>
      <c r="W53" s="1115"/>
      <c r="X53" s="1116"/>
      <c r="Y53" s="1114">
        <f t="shared" ref="Y53:Y54" si="15">IFERROR(SUMIF($F$64:$F$81,$F53,AA$64:AA$81),0)</f>
        <v>0</v>
      </c>
      <c r="Z53" s="1115"/>
      <c r="AA53" s="1116"/>
      <c r="AB53" s="10"/>
    </row>
    <row r="54" spans="1:28" ht="14.25" customHeight="1">
      <c r="F54" s="379" t="s">
        <v>191</v>
      </c>
      <c r="G54" s="88"/>
      <c r="H54" s="380" t="s">
        <v>516</v>
      </c>
      <c r="I54" s="381"/>
      <c r="J54" s="1120">
        <f t="shared" ref="J54:J59" si="16">IFERROR(SUMIF($F$64:$F$81,$F54,L$64:L$81),0)</f>
        <v>0</v>
      </c>
      <c r="K54" s="1121"/>
      <c r="L54" s="1122"/>
      <c r="M54" s="1120">
        <f t="shared" si="11"/>
        <v>0</v>
      </c>
      <c r="N54" s="1121"/>
      <c r="O54" s="1122"/>
      <c r="P54" s="1120">
        <f t="shared" si="12"/>
        <v>0</v>
      </c>
      <c r="Q54" s="1121"/>
      <c r="R54" s="1122"/>
      <c r="S54" s="1120">
        <f t="shared" si="13"/>
        <v>0</v>
      </c>
      <c r="T54" s="1121"/>
      <c r="U54" s="1122"/>
      <c r="V54" s="1120">
        <f t="shared" si="14"/>
        <v>0</v>
      </c>
      <c r="W54" s="1121"/>
      <c r="X54" s="1122"/>
      <c r="Y54" s="1120">
        <f t="shared" si="15"/>
        <v>0</v>
      </c>
      <c r="Z54" s="1121"/>
      <c r="AA54" s="1122"/>
      <c r="AB54" s="10"/>
    </row>
    <row r="55" spans="1:28" ht="14.25" customHeight="1">
      <c r="F55" s="379" t="s">
        <v>517</v>
      </c>
      <c r="G55" s="88"/>
      <c r="H55" s="380" t="s">
        <v>516</v>
      </c>
      <c r="I55" s="381"/>
      <c r="J55" s="1120">
        <f>J54-J56</f>
        <v>0</v>
      </c>
      <c r="K55" s="1121"/>
      <c r="L55" s="1122"/>
      <c r="M55" s="1120">
        <f t="shared" ref="M55" si="17">M54-M56</f>
        <v>0</v>
      </c>
      <c r="N55" s="1121"/>
      <c r="O55" s="1122"/>
      <c r="P55" s="1120">
        <f t="shared" ref="P55" si="18">P54-P56</f>
        <v>0</v>
      </c>
      <c r="Q55" s="1121"/>
      <c r="R55" s="1122"/>
      <c r="S55" s="1120">
        <f t="shared" ref="S55" si="19">S54-S56</f>
        <v>0</v>
      </c>
      <c r="T55" s="1121"/>
      <c r="U55" s="1122"/>
      <c r="V55" s="1120">
        <f t="shared" ref="V55" si="20">V54-V56</f>
        <v>0</v>
      </c>
      <c r="W55" s="1121"/>
      <c r="X55" s="1122"/>
      <c r="Y55" s="1120">
        <f t="shared" ref="Y55" si="21">Y54-Y56</f>
        <v>0</v>
      </c>
      <c r="Z55" s="1121"/>
      <c r="AA55" s="1122"/>
      <c r="AB55" s="10"/>
    </row>
    <row r="56" spans="1:28" ht="14.25" customHeight="1">
      <c r="F56" s="379" t="s">
        <v>518</v>
      </c>
      <c r="G56" s="88"/>
      <c r="H56" s="273" t="s">
        <v>526</v>
      </c>
      <c r="I56" s="381"/>
      <c r="J56" s="1120">
        <f>L69</f>
        <v>0</v>
      </c>
      <c r="K56" s="1121"/>
      <c r="L56" s="1122"/>
      <c r="M56" s="1120">
        <f t="shared" ref="M56" si="22">O69</f>
        <v>0</v>
      </c>
      <c r="N56" s="1121"/>
      <c r="O56" s="1122"/>
      <c r="P56" s="1120">
        <f t="shared" ref="P56" si="23">R69</f>
        <v>0</v>
      </c>
      <c r="Q56" s="1121"/>
      <c r="R56" s="1122"/>
      <c r="S56" s="1120">
        <f t="shared" ref="S56" si="24">U69</f>
        <v>0</v>
      </c>
      <c r="T56" s="1121"/>
      <c r="U56" s="1122"/>
      <c r="V56" s="1120">
        <f t="shared" ref="V56" si="25">X69</f>
        <v>0</v>
      </c>
      <c r="W56" s="1121"/>
      <c r="X56" s="1122"/>
      <c r="Y56" s="1120">
        <f t="shared" ref="Y56" si="26">AA69</f>
        <v>0</v>
      </c>
      <c r="Z56" s="1121"/>
      <c r="AA56" s="1122"/>
      <c r="AB56" s="10"/>
    </row>
    <row r="57" spans="1:28" ht="14.25" customHeight="1">
      <c r="F57" s="379" t="s">
        <v>98</v>
      </c>
      <c r="G57" s="88"/>
      <c r="H57" s="380" t="s">
        <v>190</v>
      </c>
      <c r="I57" s="381"/>
      <c r="J57" s="1120">
        <f t="shared" si="16"/>
        <v>0</v>
      </c>
      <c r="K57" s="1121"/>
      <c r="L57" s="1122"/>
      <c r="M57" s="1120">
        <f t="shared" ref="M57:M59" si="27">IFERROR(SUMIF($F$64:$F$81,$F57,O$64:O$81),0)</f>
        <v>0</v>
      </c>
      <c r="N57" s="1121"/>
      <c r="O57" s="1122"/>
      <c r="P57" s="1120">
        <f t="shared" ref="P57:P59" si="28">IFERROR(SUMIF($F$64:$F$81,$F57,R$64:R$81),0)</f>
        <v>0</v>
      </c>
      <c r="Q57" s="1121"/>
      <c r="R57" s="1122"/>
      <c r="S57" s="1120">
        <f t="shared" ref="S57:S59" si="29">IFERROR(SUMIF($F$64:$F$81,$F57,U$64:U$81),0)</f>
        <v>0</v>
      </c>
      <c r="T57" s="1121"/>
      <c r="U57" s="1122"/>
      <c r="V57" s="1120">
        <f t="shared" ref="V57:V59" si="30">IFERROR(SUMIF($F$64:$F$81,$F57,X$64:X$81),0)</f>
        <v>0</v>
      </c>
      <c r="W57" s="1121"/>
      <c r="X57" s="1122"/>
      <c r="Y57" s="1120">
        <f t="shared" ref="Y57:Y59" si="31">IFERROR(SUMIF($F$64:$F$81,$F57,AA$64:AA$81),0)</f>
        <v>0</v>
      </c>
      <c r="Z57" s="1121"/>
      <c r="AA57" s="1122"/>
      <c r="AB57" s="10"/>
    </row>
    <row r="58" spans="1:28" ht="14.25" customHeight="1">
      <c r="F58" s="379" t="s">
        <v>192</v>
      </c>
      <c r="G58" s="88"/>
      <c r="H58" s="380" t="s">
        <v>40</v>
      </c>
      <c r="I58" s="381"/>
      <c r="J58" s="1120">
        <f t="shared" si="16"/>
        <v>0</v>
      </c>
      <c r="K58" s="1121"/>
      <c r="L58" s="1122"/>
      <c r="M58" s="1120">
        <f t="shared" si="27"/>
        <v>0</v>
      </c>
      <c r="N58" s="1121"/>
      <c r="O58" s="1122"/>
      <c r="P58" s="1120">
        <f t="shared" si="28"/>
        <v>0</v>
      </c>
      <c r="Q58" s="1121"/>
      <c r="R58" s="1122"/>
      <c r="S58" s="1120">
        <f t="shared" si="29"/>
        <v>0</v>
      </c>
      <c r="T58" s="1121"/>
      <c r="U58" s="1122"/>
      <c r="V58" s="1120">
        <f t="shared" si="30"/>
        <v>0</v>
      </c>
      <c r="W58" s="1121"/>
      <c r="X58" s="1122"/>
      <c r="Y58" s="1120">
        <f t="shared" si="31"/>
        <v>0</v>
      </c>
      <c r="Z58" s="1121"/>
      <c r="AA58" s="1122"/>
      <c r="AB58" s="10"/>
    </row>
    <row r="59" spans="1:28" ht="14.25" customHeight="1">
      <c r="F59" s="382" t="s">
        <v>100</v>
      </c>
      <c r="G59" s="138"/>
      <c r="H59" s="383" t="s">
        <v>516</v>
      </c>
      <c r="I59" s="384"/>
      <c r="J59" s="1127">
        <f t="shared" si="16"/>
        <v>0</v>
      </c>
      <c r="K59" s="1128"/>
      <c r="L59" s="1129"/>
      <c r="M59" s="1127">
        <f t="shared" si="27"/>
        <v>0</v>
      </c>
      <c r="N59" s="1128"/>
      <c r="O59" s="1129"/>
      <c r="P59" s="1127">
        <f t="shared" si="28"/>
        <v>0</v>
      </c>
      <c r="Q59" s="1128"/>
      <c r="R59" s="1129"/>
      <c r="S59" s="1127">
        <f t="shared" si="29"/>
        <v>0</v>
      </c>
      <c r="T59" s="1128"/>
      <c r="U59" s="1129"/>
      <c r="V59" s="1127">
        <f t="shared" si="30"/>
        <v>0</v>
      </c>
      <c r="W59" s="1128"/>
      <c r="X59" s="1129"/>
      <c r="Y59" s="1127">
        <f t="shared" si="31"/>
        <v>0</v>
      </c>
      <c r="Z59" s="1128"/>
      <c r="AA59" s="1129"/>
      <c r="AB59" s="10"/>
    </row>
    <row r="60" spans="1:28" ht="14.25" customHeight="1">
      <c r="C60" s="385"/>
      <c r="D60" s="385"/>
      <c r="E60" s="385"/>
      <c r="F60" s="385"/>
      <c r="G60" s="386"/>
      <c r="H60" s="385"/>
      <c r="I60" s="385"/>
      <c r="J60" s="387"/>
      <c r="K60" s="385"/>
      <c r="M60" s="10"/>
      <c r="P60" s="10"/>
      <c r="S60" s="10"/>
      <c r="V60" s="10"/>
      <c r="Y60" s="10"/>
      <c r="AB60" s="10"/>
    </row>
    <row r="61" spans="1:28" ht="14.25" customHeight="1">
      <c r="C61" s="385"/>
      <c r="D61" s="385"/>
      <c r="E61" s="385"/>
      <c r="F61" s="385"/>
      <c r="G61" s="386"/>
      <c r="H61" s="385"/>
      <c r="I61" s="385"/>
      <c r="J61" s="387"/>
      <c r="K61" s="385"/>
      <c r="M61" s="10"/>
      <c r="P61" s="10"/>
      <c r="S61" s="10"/>
      <c r="V61" s="10"/>
      <c r="Y61" s="10"/>
      <c r="AB61" s="10"/>
    </row>
    <row r="62" spans="1:28" s="56" customFormat="1" ht="14.25" customHeight="1">
      <c r="B62" s="98" t="s">
        <v>125</v>
      </c>
      <c r="C62" s="99" t="s">
        <v>444</v>
      </c>
      <c r="D62" s="99" t="s">
        <v>520</v>
      </c>
      <c r="E62" s="98" t="s">
        <v>521</v>
      </c>
      <c r="F62" s="1126" t="s">
        <v>522</v>
      </c>
      <c r="G62" s="1126"/>
      <c r="H62" s="98" t="s">
        <v>523</v>
      </c>
      <c r="I62" s="98"/>
      <c r="J62" s="100" t="s">
        <v>524</v>
      </c>
      <c r="K62" s="99" t="s">
        <v>525</v>
      </c>
      <c r="L62" s="101" t="s">
        <v>522</v>
      </c>
      <c r="M62" s="100" t="s">
        <v>524</v>
      </c>
      <c r="N62" s="99" t="s">
        <v>525</v>
      </c>
      <c r="O62" s="101" t="s">
        <v>522</v>
      </c>
      <c r="P62" s="100" t="s">
        <v>524</v>
      </c>
      <c r="Q62" s="99" t="s">
        <v>525</v>
      </c>
      <c r="R62" s="101" t="s">
        <v>522</v>
      </c>
      <c r="S62" s="100" t="s">
        <v>524</v>
      </c>
      <c r="T62" s="99" t="s">
        <v>525</v>
      </c>
      <c r="U62" s="101" t="s">
        <v>522</v>
      </c>
      <c r="V62" s="100" t="s">
        <v>524</v>
      </c>
      <c r="W62" s="99" t="s">
        <v>525</v>
      </c>
      <c r="X62" s="101" t="s">
        <v>522</v>
      </c>
      <c r="Y62" s="100" t="s">
        <v>524</v>
      </c>
      <c r="Z62" s="99" t="s">
        <v>525</v>
      </c>
      <c r="AA62" s="101" t="s">
        <v>522</v>
      </c>
      <c r="AB62" s="78"/>
    </row>
    <row r="63" spans="1:28" s="56" customFormat="1" ht="9" customHeight="1">
      <c r="C63" s="61"/>
      <c r="D63" s="61"/>
      <c r="E63" s="58"/>
      <c r="F63" s="59"/>
      <c r="G63" s="61"/>
      <c r="H63" s="62"/>
      <c r="I63" s="62"/>
      <c r="J63" s="78"/>
      <c r="M63" s="78"/>
      <c r="P63" s="78"/>
      <c r="S63" s="78"/>
      <c r="V63" s="78"/>
      <c r="Y63" s="78"/>
      <c r="AB63" s="78"/>
    </row>
    <row r="64" spans="1:28" s="56" customFormat="1" ht="14.25" customHeight="1">
      <c r="A64" s="826" t="s">
        <v>163</v>
      </c>
      <c r="B64" s="288" t="s">
        <v>224</v>
      </c>
      <c r="C64" s="289" t="s">
        <v>67</v>
      </c>
      <c r="D64" s="289" t="s">
        <v>526</v>
      </c>
      <c r="E64" s="290">
        <v>50</v>
      </c>
      <c r="F64" s="291" t="s">
        <v>189</v>
      </c>
      <c r="G64" s="107" t="s">
        <v>526</v>
      </c>
      <c r="H64" s="172">
        <v>1</v>
      </c>
      <c r="I64" s="288"/>
      <c r="J64" s="292">
        <f>IF(J$4=$B64,J$5*J$8,0)</f>
        <v>0</v>
      </c>
      <c r="K64" s="290">
        <f>ROUND($E64*J64,)</f>
        <v>0</v>
      </c>
      <c r="L64" s="109">
        <f t="shared" ref="L64:L67" si="32">$H64*J64</f>
        <v>0</v>
      </c>
      <c r="M64" s="292">
        <f t="shared" ref="M64:Y66" si="33">IF(M$4=$B64,M$5*M$8,0)</f>
        <v>0</v>
      </c>
      <c r="N64" s="290">
        <f t="shared" ref="N64:Z75" si="34">ROUND($E64*M64,)</f>
        <v>0</v>
      </c>
      <c r="O64" s="109">
        <f t="shared" ref="O64:O75" si="35">$H64*M64</f>
        <v>0</v>
      </c>
      <c r="P64" s="292">
        <f t="shared" ref="P64" si="36">IF(P$4=$B64,P$5*P$8,0)</f>
        <v>0</v>
      </c>
      <c r="Q64" s="290">
        <f t="shared" ref="Q64" si="37">ROUND($E64*P64,)</f>
        <v>0</v>
      </c>
      <c r="R64" s="109">
        <f t="shared" ref="R64:R75" si="38">$H64*P64</f>
        <v>0</v>
      </c>
      <c r="S64" s="292">
        <f t="shared" ref="S64" si="39">IF(S$4=$B64,S$5*S$8,0)</f>
        <v>0</v>
      </c>
      <c r="T64" s="290">
        <f t="shared" ref="T64" si="40">ROUND($E64*S64,)</f>
        <v>0</v>
      </c>
      <c r="U64" s="109">
        <f t="shared" ref="U64:U75" si="41">$H64*S64</f>
        <v>0</v>
      </c>
      <c r="V64" s="292">
        <f t="shared" ref="V64" si="42">IF(V$4=$B64,V$5*V$8,0)</f>
        <v>0</v>
      </c>
      <c r="W64" s="290">
        <f t="shared" ref="W64" si="43">ROUND($E64*V64,)</f>
        <v>0</v>
      </c>
      <c r="X64" s="109">
        <f t="shared" ref="X64:X75" si="44">$H64*V64</f>
        <v>0</v>
      </c>
      <c r="Y64" s="292">
        <f t="shared" ref="Y64" si="45">IF(Y$4=$B64,Y$5*Y$8,0)</f>
        <v>0</v>
      </c>
      <c r="Z64" s="290">
        <f t="shared" ref="Z64" si="46">ROUND($E64*Y64,)</f>
        <v>0</v>
      </c>
      <c r="AA64" s="109">
        <f t="shared" ref="AA64:AA75" si="47">$H64*Y64</f>
        <v>0</v>
      </c>
      <c r="AB64" s="78"/>
    </row>
    <row r="65" spans="1:28" s="56" customFormat="1" ht="14.25" customHeight="1">
      <c r="A65" s="827" t="s">
        <v>163</v>
      </c>
      <c r="B65" s="274" t="s">
        <v>230</v>
      </c>
      <c r="C65" s="275" t="s">
        <v>67</v>
      </c>
      <c r="D65" s="278" t="s">
        <v>526</v>
      </c>
      <c r="E65" s="532">
        <v>140</v>
      </c>
      <c r="F65" s="276" t="s">
        <v>189</v>
      </c>
      <c r="G65" s="91" t="s">
        <v>526</v>
      </c>
      <c r="H65" s="170">
        <v>1</v>
      </c>
      <c r="I65" s="274"/>
      <c r="J65" s="281">
        <f>IF(J$4=$B65,J$5*J$8,0)</f>
        <v>0</v>
      </c>
      <c r="K65" s="279">
        <f t="shared" ref="K65:K75" si="48">ROUND($E65*J65,)</f>
        <v>0</v>
      </c>
      <c r="L65" s="93">
        <f t="shared" si="32"/>
        <v>0</v>
      </c>
      <c r="M65" s="281">
        <f t="shared" si="33"/>
        <v>0</v>
      </c>
      <c r="N65" s="279">
        <f t="shared" si="34"/>
        <v>0</v>
      </c>
      <c r="O65" s="93">
        <f t="shared" si="35"/>
        <v>0</v>
      </c>
      <c r="P65" s="281">
        <f t="shared" si="33"/>
        <v>0</v>
      </c>
      <c r="Q65" s="279">
        <f t="shared" si="34"/>
        <v>0</v>
      </c>
      <c r="R65" s="93">
        <f t="shared" si="38"/>
        <v>0</v>
      </c>
      <c r="S65" s="281">
        <f t="shared" si="33"/>
        <v>0</v>
      </c>
      <c r="T65" s="279">
        <f t="shared" si="34"/>
        <v>0</v>
      </c>
      <c r="U65" s="93">
        <f t="shared" si="41"/>
        <v>0</v>
      </c>
      <c r="V65" s="281">
        <f t="shared" si="33"/>
        <v>0</v>
      </c>
      <c r="W65" s="279">
        <f t="shared" si="34"/>
        <v>0</v>
      </c>
      <c r="X65" s="93">
        <f t="shared" si="44"/>
        <v>0</v>
      </c>
      <c r="Y65" s="281">
        <f t="shared" si="33"/>
        <v>0</v>
      </c>
      <c r="Z65" s="279">
        <f t="shared" si="34"/>
        <v>0</v>
      </c>
      <c r="AA65" s="93">
        <f t="shared" si="47"/>
        <v>0</v>
      </c>
      <c r="AB65" s="78"/>
    </row>
    <row r="66" spans="1:28" s="56" customFormat="1" ht="14.25" customHeight="1">
      <c r="A66" s="827" t="s">
        <v>163</v>
      </c>
      <c r="B66" s="274" t="s">
        <v>59</v>
      </c>
      <c r="C66" s="275" t="s">
        <v>67</v>
      </c>
      <c r="D66" s="392" t="s">
        <v>516</v>
      </c>
      <c r="E66" s="532">
        <v>160</v>
      </c>
      <c r="F66" s="276" t="s">
        <v>189</v>
      </c>
      <c r="G66" s="97" t="s">
        <v>516</v>
      </c>
      <c r="H66" s="170">
        <v>1</v>
      </c>
      <c r="I66" s="274"/>
      <c r="J66" s="395">
        <f>IF(J$4=$B66,J$5*J$8,0)</f>
        <v>0</v>
      </c>
      <c r="K66" s="279">
        <f t="shared" si="48"/>
        <v>0</v>
      </c>
      <c r="L66" s="93">
        <f t="shared" si="32"/>
        <v>0</v>
      </c>
      <c r="M66" s="395">
        <f>IF(M$4=$B66,M$5*M$8,0)</f>
        <v>0</v>
      </c>
      <c r="N66" s="279">
        <f t="shared" si="34"/>
        <v>0</v>
      </c>
      <c r="O66" s="93">
        <f t="shared" si="35"/>
        <v>0</v>
      </c>
      <c r="P66" s="395">
        <f>IF(P$4=$B66,P$5*P$8,0)</f>
        <v>0</v>
      </c>
      <c r="Q66" s="279">
        <f t="shared" si="34"/>
        <v>0</v>
      </c>
      <c r="R66" s="93">
        <f t="shared" si="38"/>
        <v>0</v>
      </c>
      <c r="S66" s="395">
        <f t="shared" si="33"/>
        <v>0</v>
      </c>
      <c r="T66" s="279">
        <f t="shared" si="34"/>
        <v>0</v>
      </c>
      <c r="U66" s="93">
        <f t="shared" si="41"/>
        <v>0</v>
      </c>
      <c r="V66" s="395">
        <f t="shared" si="33"/>
        <v>0</v>
      </c>
      <c r="W66" s="279">
        <f t="shared" si="34"/>
        <v>0</v>
      </c>
      <c r="X66" s="93">
        <f t="shared" si="44"/>
        <v>0</v>
      </c>
      <c r="Y66" s="395">
        <f t="shared" si="33"/>
        <v>0</v>
      </c>
      <c r="Z66" s="279">
        <f t="shared" si="34"/>
        <v>0</v>
      </c>
      <c r="AA66" s="93">
        <f t="shared" si="47"/>
        <v>0</v>
      </c>
      <c r="AB66" s="78"/>
    </row>
    <row r="67" spans="1:28" ht="14.25" customHeight="1">
      <c r="A67" s="826" t="s">
        <v>166</v>
      </c>
      <c r="B67" s="288" t="s">
        <v>536</v>
      </c>
      <c r="C67" s="289" t="s">
        <v>67</v>
      </c>
      <c r="D67" s="289" t="s">
        <v>526</v>
      </c>
      <c r="E67" s="290">
        <v>300</v>
      </c>
      <c r="F67" s="291" t="s">
        <v>191</v>
      </c>
      <c r="G67" s="107" t="s">
        <v>526</v>
      </c>
      <c r="H67" s="172">
        <v>1</v>
      </c>
      <c r="I67" s="288"/>
      <c r="J67" s="292">
        <f>IFERROR((J$8-J$18)*J$5*IF(J4="Mechanisch",Parameter!$C$47/360,Parameter!$C$48/360),0)</f>
        <v>0</v>
      </c>
      <c r="K67" s="290">
        <f t="shared" si="48"/>
        <v>0</v>
      </c>
      <c r="L67" s="109">
        <f t="shared" si="32"/>
        <v>0</v>
      </c>
      <c r="M67" s="292">
        <f>IFERROR((M$8-M$18)*M$5*IF(M4="Mechanisch",Parameter!$C$47/360,Parameter!$C$48/360),0)</f>
        <v>0</v>
      </c>
      <c r="N67" s="290">
        <f t="shared" si="34"/>
        <v>0</v>
      </c>
      <c r="O67" s="109">
        <f t="shared" si="35"/>
        <v>0</v>
      </c>
      <c r="P67" s="292">
        <f>IFERROR((P$8-P$18)*P$5*IF(P4="Mechanisch",Parameter!$C$47/360,Parameter!$C$48/360),0)</f>
        <v>0</v>
      </c>
      <c r="Q67" s="290">
        <f t="shared" ref="Q67" si="49">ROUND($E67*P67,)</f>
        <v>0</v>
      </c>
      <c r="R67" s="109">
        <f t="shared" si="38"/>
        <v>0</v>
      </c>
      <c r="S67" s="292">
        <f>IFERROR((S$8-S$18)*S$5*IF(S4="Mechanisch",Parameter!$C$47/360,Parameter!$C$48/360),0)</f>
        <v>0</v>
      </c>
      <c r="T67" s="290">
        <f t="shared" ref="T67" si="50">ROUND($E67*S67,)</f>
        <v>0</v>
      </c>
      <c r="U67" s="109">
        <f t="shared" si="41"/>
        <v>0</v>
      </c>
      <c r="V67" s="292">
        <f>IFERROR((V$8-V$18)*V$5*IF(V4="Mechanisch",Parameter!$C$47/360,Parameter!$C$48/360),0)</f>
        <v>0</v>
      </c>
      <c r="W67" s="290">
        <f t="shared" ref="W67" si="51">ROUND($E67*V67,)</f>
        <v>0</v>
      </c>
      <c r="X67" s="109">
        <f t="shared" si="44"/>
        <v>0</v>
      </c>
      <c r="Y67" s="292">
        <f>IFERROR((Y$8-Y$18)*Y$5*IF(Y4="Mechanisch",Parameter!$C$47/360,Parameter!$C$48/360),0)</f>
        <v>0</v>
      </c>
      <c r="Z67" s="290">
        <f t="shared" ref="Z67" si="52">ROUND($E67*Y67,)</f>
        <v>0</v>
      </c>
      <c r="AA67" s="109">
        <f t="shared" si="47"/>
        <v>0</v>
      </c>
      <c r="AB67" s="10"/>
    </row>
    <row r="68" spans="1:28" ht="14.25" customHeight="1">
      <c r="A68" s="828" t="s">
        <v>166</v>
      </c>
      <c r="B68" s="277" t="s">
        <v>537</v>
      </c>
      <c r="C68" s="278" t="s">
        <v>67</v>
      </c>
      <c r="D68" s="278" t="s">
        <v>526</v>
      </c>
      <c r="E68" s="279">
        <v>350</v>
      </c>
      <c r="F68" s="280" t="s">
        <v>100</v>
      </c>
      <c r="G68" s="91" t="s">
        <v>526</v>
      </c>
      <c r="H68" s="96">
        <v>1</v>
      </c>
      <c r="I68" s="277"/>
      <c r="J68" s="281">
        <f>IFERROR((J$8-J$18)*J$5*(1-IF(J4="Mechanisch",Parameter!$C$47/360,Parameter!$C$48/360)),0)</f>
        <v>0</v>
      </c>
      <c r="K68" s="279">
        <f t="shared" si="48"/>
        <v>0</v>
      </c>
      <c r="L68" s="93">
        <f t="shared" ref="L68:L75" si="53">$H68*J68</f>
        <v>0</v>
      </c>
      <c r="M68" s="281">
        <f>IFERROR((M$8-M$18)*M$5*(1-IF(M4="Mechanisch",Parameter!$C$47/360,Parameter!$C$48/360)),0)</f>
        <v>0</v>
      </c>
      <c r="N68" s="279">
        <f t="shared" si="34"/>
        <v>0</v>
      </c>
      <c r="O68" s="93">
        <f t="shared" si="35"/>
        <v>0</v>
      </c>
      <c r="P68" s="281">
        <f>IFERROR((P$8-P$18)*P$5*(1-IF(P4="Mechanisch",Parameter!$C$47/360,Parameter!$C$48/360)),0)</f>
        <v>0</v>
      </c>
      <c r="Q68" s="279">
        <f t="shared" si="34"/>
        <v>0</v>
      </c>
      <c r="R68" s="93">
        <f t="shared" si="38"/>
        <v>0</v>
      </c>
      <c r="S68" s="281">
        <f>IFERROR((S$8-S$18)*S$5*(1-IF(S4="Mechanisch",Parameter!$C$47/360,Parameter!$C$48/360)),0)</f>
        <v>0</v>
      </c>
      <c r="T68" s="279">
        <f t="shared" si="34"/>
        <v>0</v>
      </c>
      <c r="U68" s="93">
        <f t="shared" si="41"/>
        <v>0</v>
      </c>
      <c r="V68" s="281">
        <f>IFERROR((V$8-V$18)*V$5*(1-IF(V4="Mechanisch",Parameter!$C$47/360,Parameter!$C$48/360)),0)</f>
        <v>0</v>
      </c>
      <c r="W68" s="279">
        <f t="shared" si="34"/>
        <v>0</v>
      </c>
      <c r="X68" s="93">
        <f t="shared" si="44"/>
        <v>0</v>
      </c>
      <c r="Y68" s="281">
        <f>IFERROR((Y$8-Y$18)*Y$5*(1-IF(Y4="Mechanisch",Parameter!$C$47/360,Parameter!$C$48/360)),0)</f>
        <v>0</v>
      </c>
      <c r="Z68" s="279">
        <f t="shared" si="34"/>
        <v>0</v>
      </c>
      <c r="AA68" s="93">
        <f t="shared" si="47"/>
        <v>0</v>
      </c>
      <c r="AB68" s="10"/>
    </row>
    <row r="69" spans="1:28" ht="14.25" customHeight="1">
      <c r="A69" s="415" t="s">
        <v>166</v>
      </c>
      <c r="B69" s="394" t="s">
        <v>538</v>
      </c>
      <c r="C69" s="392" t="s">
        <v>67</v>
      </c>
      <c r="D69" s="392" t="s">
        <v>516</v>
      </c>
      <c r="E69" s="282">
        <v>420</v>
      </c>
      <c r="F69" s="94" t="s">
        <v>191</v>
      </c>
      <c r="G69" s="97" t="s">
        <v>516</v>
      </c>
      <c r="H69" s="393">
        <v>1</v>
      </c>
      <c r="I69" s="394"/>
      <c r="J69" s="395">
        <f>IFERROR((J$18-J$26)*J$5,0)</f>
        <v>0</v>
      </c>
      <c r="K69" s="279">
        <f t="shared" si="48"/>
        <v>0</v>
      </c>
      <c r="L69" s="93">
        <f t="shared" si="53"/>
        <v>0</v>
      </c>
      <c r="M69" s="395">
        <f t="shared" ref="M69" si="54">IFERROR((M$18-M$26)*M$5,0)</f>
        <v>0</v>
      </c>
      <c r="N69" s="279">
        <f t="shared" si="34"/>
        <v>0</v>
      </c>
      <c r="O69" s="93">
        <f t="shared" si="35"/>
        <v>0</v>
      </c>
      <c r="P69" s="395">
        <f t="shared" ref="P69" si="55">IFERROR((P$18-P$26)*P$5,0)</f>
        <v>0</v>
      </c>
      <c r="Q69" s="279">
        <f t="shared" si="34"/>
        <v>0</v>
      </c>
      <c r="R69" s="93">
        <f t="shared" si="38"/>
        <v>0</v>
      </c>
      <c r="S69" s="395">
        <f t="shared" ref="S69" si="56">IFERROR((S$18-S$26)*S$5,0)</f>
        <v>0</v>
      </c>
      <c r="T69" s="279">
        <f t="shared" si="34"/>
        <v>0</v>
      </c>
      <c r="U69" s="93">
        <f t="shared" si="41"/>
        <v>0</v>
      </c>
      <c r="V69" s="395">
        <f t="shared" ref="V69" si="57">IFERROR((V$18-V$26)*V$5,0)</f>
        <v>0</v>
      </c>
      <c r="W69" s="279">
        <f t="shared" si="34"/>
        <v>0</v>
      </c>
      <c r="X69" s="93">
        <f t="shared" si="44"/>
        <v>0</v>
      </c>
      <c r="Y69" s="395">
        <f t="shared" ref="Y69" si="58">IFERROR((Y$18-Y$26)*Y$5,0)</f>
        <v>0</v>
      </c>
      <c r="Z69" s="279">
        <f t="shared" si="34"/>
        <v>0</v>
      </c>
      <c r="AA69" s="93">
        <f t="shared" si="47"/>
        <v>0</v>
      </c>
      <c r="AB69" s="10"/>
    </row>
    <row r="70" spans="1:28" ht="14.25" customHeight="1">
      <c r="A70" s="579" t="s">
        <v>166</v>
      </c>
      <c r="B70" s="409" t="s">
        <v>539</v>
      </c>
      <c r="C70" s="407" t="s">
        <v>67</v>
      </c>
      <c r="D70" s="407" t="s">
        <v>348</v>
      </c>
      <c r="E70" s="287">
        <v>2.5</v>
      </c>
      <c r="F70" s="116" t="s">
        <v>98</v>
      </c>
      <c r="G70" s="286" t="s">
        <v>190</v>
      </c>
      <c r="H70" s="445">
        <f>1/1000</f>
        <v>1E-3</v>
      </c>
      <c r="I70" s="409"/>
      <c r="J70" s="410">
        <f>IFERROR(J69*J27,0)</f>
        <v>0</v>
      </c>
      <c r="K70" s="285">
        <f t="shared" si="48"/>
        <v>0</v>
      </c>
      <c r="L70" s="119">
        <f t="shared" si="53"/>
        <v>0</v>
      </c>
      <c r="M70" s="410">
        <f>IFERROR(M69*M27,0)</f>
        <v>0</v>
      </c>
      <c r="N70" s="285">
        <f t="shared" si="34"/>
        <v>0</v>
      </c>
      <c r="O70" s="119">
        <f t="shared" si="35"/>
        <v>0</v>
      </c>
      <c r="P70" s="410">
        <f>IFERROR(P69*P27,0)</f>
        <v>0</v>
      </c>
      <c r="Q70" s="285">
        <f t="shared" si="34"/>
        <v>0</v>
      </c>
      <c r="R70" s="119">
        <f t="shared" si="38"/>
        <v>0</v>
      </c>
      <c r="S70" s="410">
        <f>IFERROR(S69*S27,0)</f>
        <v>0</v>
      </c>
      <c r="T70" s="285">
        <f t="shared" si="34"/>
        <v>0</v>
      </c>
      <c r="U70" s="119">
        <f t="shared" si="41"/>
        <v>0</v>
      </c>
      <c r="V70" s="410">
        <f>IFERROR(V69*V27,0)</f>
        <v>0</v>
      </c>
      <c r="W70" s="285">
        <f t="shared" si="34"/>
        <v>0</v>
      </c>
      <c r="X70" s="119">
        <f t="shared" si="44"/>
        <v>0</v>
      </c>
      <c r="Y70" s="410">
        <f>IFERROR(Y69*Y27,0)</f>
        <v>0</v>
      </c>
      <c r="Z70" s="285">
        <f t="shared" si="34"/>
        <v>0</v>
      </c>
      <c r="AA70" s="119">
        <f t="shared" si="47"/>
        <v>0</v>
      </c>
      <c r="AB70" s="10"/>
    </row>
    <row r="71" spans="1:28" ht="14.25" customHeight="1">
      <c r="A71" s="829" t="s">
        <v>168</v>
      </c>
      <c r="B71" s="293"/>
      <c r="C71" s="294" t="s">
        <v>5</v>
      </c>
      <c r="D71" s="294" t="s">
        <v>461</v>
      </c>
      <c r="E71" s="451">
        <f>Parameter!$C$95</f>
        <v>100</v>
      </c>
      <c r="F71" s="296" t="s">
        <v>192</v>
      </c>
      <c r="G71" s="297" t="s">
        <v>461</v>
      </c>
      <c r="H71" s="298">
        <v>1</v>
      </c>
      <c r="I71" s="293"/>
      <c r="J71" s="299">
        <f>IF(J$32="Vollabdichtung",J$5*J$25,IF(J$32="Teilabdichtung",J$5*J$25*Parameter!$C$43/100,0))</f>
        <v>0</v>
      </c>
      <c r="K71" s="295">
        <f t="shared" si="48"/>
        <v>0</v>
      </c>
      <c r="L71" s="300">
        <f t="shared" si="53"/>
        <v>0</v>
      </c>
      <c r="M71" s="299">
        <f>IF(M$32="Vollabdichtung",M$5*M$25,IF(M$32="Teilabdichtung",M$5*M$25*Parameter!$C$43/100,0))</f>
        <v>0</v>
      </c>
      <c r="N71" s="295">
        <f t="shared" si="34"/>
        <v>0</v>
      </c>
      <c r="O71" s="300">
        <f t="shared" si="35"/>
        <v>0</v>
      </c>
      <c r="P71" s="299">
        <f>IF(P$32="Vollabdichtung",P$5*P$25,IF(P$32="Teilabdichtung",P$5*P$25*Parameter!$C$43/100,0))</f>
        <v>0</v>
      </c>
      <c r="Q71" s="295">
        <f t="shared" si="34"/>
        <v>0</v>
      </c>
      <c r="R71" s="300">
        <f t="shared" si="38"/>
        <v>0</v>
      </c>
      <c r="S71" s="299">
        <f>IF(S$32="Vollabdichtung",S$5*S$25,IF(S$32="Teilabdichtung",S$5*S$25*Parameter!$C$43/100,0))</f>
        <v>0</v>
      </c>
      <c r="T71" s="295">
        <f t="shared" si="34"/>
        <v>0</v>
      </c>
      <c r="U71" s="300">
        <f t="shared" si="41"/>
        <v>0</v>
      </c>
      <c r="V71" s="299">
        <f>IF(V$32="Vollabdichtung",V$5*V$25,IF(V$32="Teilabdichtung",V$5*V$25*Parameter!$C$43/100,0))</f>
        <v>0</v>
      </c>
      <c r="W71" s="295">
        <f t="shared" si="34"/>
        <v>0</v>
      </c>
      <c r="X71" s="300">
        <f t="shared" si="44"/>
        <v>0</v>
      </c>
      <c r="Y71" s="299">
        <f>IF(Y$32="Vollabdichtung",Y$5*Y$25,IF(Y$32="Teilabdichtung",Y$5*Y$25*Parameter!$C$43/100,0))</f>
        <v>0</v>
      </c>
      <c r="Z71" s="295">
        <f t="shared" si="34"/>
        <v>0</v>
      </c>
      <c r="AA71" s="300">
        <f t="shared" si="47"/>
        <v>0</v>
      </c>
      <c r="AB71" s="10"/>
    </row>
    <row r="72" spans="1:28" ht="14.25" customHeight="1">
      <c r="A72" s="414" t="s">
        <v>497</v>
      </c>
      <c r="B72" s="390" t="s">
        <v>191</v>
      </c>
      <c r="C72" s="388" t="s">
        <v>5</v>
      </c>
      <c r="D72" s="388" t="s">
        <v>516</v>
      </c>
      <c r="E72" s="129">
        <f>Parameter!$C$96</f>
        <v>300</v>
      </c>
      <c r="F72" s="114" t="s">
        <v>191</v>
      </c>
      <c r="G72" s="130" t="s">
        <v>516</v>
      </c>
      <c r="H72" s="389">
        <v>1</v>
      </c>
      <c r="I72" s="390"/>
      <c r="J72" s="391">
        <f>IFERROR(J$5*(J$26-J$31),0)</f>
        <v>0</v>
      </c>
      <c r="K72" s="290">
        <f t="shared" si="48"/>
        <v>0</v>
      </c>
      <c r="L72" s="109">
        <f t="shared" si="53"/>
        <v>0</v>
      </c>
      <c r="M72" s="391">
        <f t="shared" ref="M72" si="59">IFERROR(M$5*(M$26-M$31),0)</f>
        <v>0</v>
      </c>
      <c r="N72" s="290">
        <f t="shared" si="34"/>
        <v>0</v>
      </c>
      <c r="O72" s="109">
        <f t="shared" si="35"/>
        <v>0</v>
      </c>
      <c r="P72" s="391">
        <f t="shared" ref="P72" si="60">IFERROR(P$5*(P$26-P$31),0)</f>
        <v>0</v>
      </c>
      <c r="Q72" s="290">
        <f t="shared" si="34"/>
        <v>0</v>
      </c>
      <c r="R72" s="109">
        <f t="shared" si="38"/>
        <v>0</v>
      </c>
      <c r="S72" s="391">
        <f t="shared" ref="S72" si="61">IFERROR(S$5*(S$26-S$31),0)</f>
        <v>0</v>
      </c>
      <c r="T72" s="290">
        <f t="shared" si="34"/>
        <v>0</v>
      </c>
      <c r="U72" s="109">
        <f t="shared" si="41"/>
        <v>0</v>
      </c>
      <c r="V72" s="391">
        <f t="shared" ref="V72" si="62">IFERROR(V$5*(V$26-V$31),0)</f>
        <v>0</v>
      </c>
      <c r="W72" s="290">
        <f t="shared" si="34"/>
        <v>0</v>
      </c>
      <c r="X72" s="109">
        <f t="shared" si="44"/>
        <v>0</v>
      </c>
      <c r="Y72" s="391">
        <f t="shared" ref="Y72" si="63">IFERROR(Y$5*(Y$26-Y$31),0)</f>
        <v>0</v>
      </c>
      <c r="Z72" s="290">
        <f t="shared" si="34"/>
        <v>0</v>
      </c>
      <c r="AA72" s="109">
        <f t="shared" si="47"/>
        <v>0</v>
      </c>
      <c r="AB72" s="10"/>
    </row>
    <row r="73" spans="1:28" ht="14.25" customHeight="1">
      <c r="A73" s="415" t="s">
        <v>497</v>
      </c>
      <c r="B73" s="394" t="s">
        <v>532</v>
      </c>
      <c r="C73" s="392" t="s">
        <v>5</v>
      </c>
      <c r="D73" s="392" t="s">
        <v>516</v>
      </c>
      <c r="E73" s="95">
        <f>Parameter!$C$97</f>
        <v>200</v>
      </c>
      <c r="F73" s="94" t="s">
        <v>191</v>
      </c>
      <c r="G73" s="97" t="s">
        <v>516</v>
      </c>
      <c r="H73" s="393">
        <v>1</v>
      </c>
      <c r="I73" s="394"/>
      <c r="J73" s="395">
        <f>IFERROR(J$5*((J$33-J$34)*Parameter!$C$44/100+J$34),0)</f>
        <v>0</v>
      </c>
      <c r="K73" s="279">
        <f t="shared" si="48"/>
        <v>0</v>
      </c>
      <c r="L73" s="93">
        <f t="shared" si="53"/>
        <v>0</v>
      </c>
      <c r="M73" s="395">
        <f>IFERROR(M$5*((M$33-M$34)*Parameter!$C$44/100+M$34),0)</f>
        <v>0</v>
      </c>
      <c r="N73" s="279">
        <f t="shared" si="34"/>
        <v>0</v>
      </c>
      <c r="O73" s="93">
        <f t="shared" si="35"/>
        <v>0</v>
      </c>
      <c r="P73" s="395">
        <f>IFERROR(P$5*((P$33-P$34)*Parameter!$C$44/100+P$34),0)</f>
        <v>0</v>
      </c>
      <c r="Q73" s="279">
        <f t="shared" si="34"/>
        <v>0</v>
      </c>
      <c r="R73" s="93">
        <f t="shared" si="38"/>
        <v>0</v>
      </c>
      <c r="S73" s="395">
        <f>IFERROR(S$5*((S$33-S$34)*Parameter!$C$44/100+S$34),0)</f>
        <v>0</v>
      </c>
      <c r="T73" s="279">
        <f t="shared" si="34"/>
        <v>0</v>
      </c>
      <c r="U73" s="93">
        <f t="shared" si="41"/>
        <v>0</v>
      </c>
      <c r="V73" s="395">
        <f>IFERROR(V$5*((V$33-V$34)*Parameter!$C$44/100+V$34),0)</f>
        <v>0</v>
      </c>
      <c r="W73" s="279">
        <f t="shared" si="34"/>
        <v>0</v>
      </c>
      <c r="X73" s="93">
        <f t="shared" si="44"/>
        <v>0</v>
      </c>
      <c r="Y73" s="395">
        <f>IFERROR(Y$5*((Y$33-Y$34)*Parameter!$C$44/100+Y$34),0)</f>
        <v>0</v>
      </c>
      <c r="Z73" s="279">
        <f t="shared" si="34"/>
        <v>0</v>
      </c>
      <c r="AA73" s="93">
        <f t="shared" si="47"/>
        <v>0</v>
      </c>
      <c r="AB73" s="10"/>
    </row>
    <row r="74" spans="1:28" ht="14.25" customHeight="1">
      <c r="A74" s="415" t="s">
        <v>497</v>
      </c>
      <c r="B74" s="394" t="s">
        <v>533</v>
      </c>
      <c r="C74" s="392" t="s">
        <v>5</v>
      </c>
      <c r="D74" s="392" t="s">
        <v>516</v>
      </c>
      <c r="E74" s="95">
        <f>Parameter!$C$98</f>
        <v>20</v>
      </c>
      <c r="F74" s="94" t="s">
        <v>100</v>
      </c>
      <c r="G74" s="97" t="s">
        <v>516</v>
      </c>
      <c r="H74" s="393">
        <v>1</v>
      </c>
      <c r="I74" s="394"/>
      <c r="J74" s="395">
        <f>IFERROR(J$5*J$33-J$73,0)</f>
        <v>0</v>
      </c>
      <c r="K74" s="279">
        <f t="shared" si="48"/>
        <v>0</v>
      </c>
      <c r="L74" s="93">
        <f t="shared" si="53"/>
        <v>0</v>
      </c>
      <c r="M74" s="395">
        <f>IFERROR(M$5*M$33-M$73,0)</f>
        <v>0</v>
      </c>
      <c r="N74" s="279">
        <f t="shared" si="34"/>
        <v>0</v>
      </c>
      <c r="O74" s="93">
        <f t="shared" si="35"/>
        <v>0</v>
      </c>
      <c r="P74" s="395">
        <f>IFERROR(P$5*P$33-P$73,0)</f>
        <v>0</v>
      </c>
      <c r="Q74" s="279">
        <f t="shared" si="34"/>
        <v>0</v>
      </c>
      <c r="R74" s="93">
        <f t="shared" si="38"/>
        <v>0</v>
      </c>
      <c r="S74" s="395">
        <f>IFERROR(S$5*S$33-S$73,0)</f>
        <v>0</v>
      </c>
      <c r="T74" s="279">
        <f t="shared" si="34"/>
        <v>0</v>
      </c>
      <c r="U74" s="93">
        <f t="shared" si="41"/>
        <v>0</v>
      </c>
      <c r="V74" s="395">
        <f>IFERROR(V$5*V$33-V$73,0)</f>
        <v>0</v>
      </c>
      <c r="W74" s="279">
        <f t="shared" si="34"/>
        <v>0</v>
      </c>
      <c r="X74" s="93">
        <f t="shared" si="44"/>
        <v>0</v>
      </c>
      <c r="Y74" s="395">
        <f>IFERROR(Y$5*Y$33-Y$73,0)</f>
        <v>0</v>
      </c>
      <c r="Z74" s="279">
        <f t="shared" si="34"/>
        <v>0</v>
      </c>
      <c r="AA74" s="93">
        <f t="shared" si="47"/>
        <v>0</v>
      </c>
      <c r="AB74" s="10"/>
    </row>
    <row r="75" spans="1:28" ht="14.25" customHeight="1">
      <c r="A75" s="579" t="s">
        <v>497</v>
      </c>
      <c r="B75" s="283" t="s">
        <v>534</v>
      </c>
      <c r="C75" s="284" t="s">
        <v>5</v>
      </c>
      <c r="D75" s="392" t="s">
        <v>348</v>
      </c>
      <c r="E75" s="120">
        <f>Parameter!$C$99</f>
        <v>2.5</v>
      </c>
      <c r="F75" s="116" t="s">
        <v>98</v>
      </c>
      <c r="G75" s="286" t="s">
        <v>190</v>
      </c>
      <c r="H75" s="409">
        <f>1/1000</f>
        <v>1E-3</v>
      </c>
      <c r="I75" s="409"/>
      <c r="J75" s="410">
        <f>IFERROR(J$34*J$5*Parameter!$C$45,0)</f>
        <v>0</v>
      </c>
      <c r="K75" s="285">
        <f t="shared" si="48"/>
        <v>0</v>
      </c>
      <c r="L75" s="119">
        <f t="shared" si="53"/>
        <v>0</v>
      </c>
      <c r="M75" s="410">
        <f>IFERROR(M$34*M$5*Parameter!$C$45,0)</f>
        <v>0</v>
      </c>
      <c r="N75" s="285">
        <f t="shared" si="34"/>
        <v>0</v>
      </c>
      <c r="O75" s="119">
        <f t="shared" si="35"/>
        <v>0</v>
      </c>
      <c r="P75" s="410">
        <f>IFERROR(P$34*P$5*Parameter!$C$45,0)</f>
        <v>0</v>
      </c>
      <c r="Q75" s="285">
        <f t="shared" si="34"/>
        <v>0</v>
      </c>
      <c r="R75" s="119">
        <f t="shared" si="38"/>
        <v>0</v>
      </c>
      <c r="S75" s="410">
        <f>IFERROR(S$34*S$5*Parameter!$C$45,0)</f>
        <v>0</v>
      </c>
      <c r="T75" s="285">
        <f t="shared" si="34"/>
        <v>0</v>
      </c>
      <c r="U75" s="119">
        <f t="shared" si="41"/>
        <v>0</v>
      </c>
      <c r="V75" s="410">
        <f>IFERROR(V$34*V$5*Parameter!$C$45,0)</f>
        <v>0</v>
      </c>
      <c r="W75" s="285">
        <f t="shared" si="34"/>
        <v>0</v>
      </c>
      <c r="X75" s="119">
        <f t="shared" si="44"/>
        <v>0</v>
      </c>
      <c r="Y75" s="410">
        <f>IFERROR(Y$34*Y$5*Parameter!$C$45,0)</f>
        <v>0</v>
      </c>
      <c r="Z75" s="285">
        <f t="shared" si="34"/>
        <v>0</v>
      </c>
      <c r="AA75" s="119">
        <f t="shared" si="47"/>
        <v>0</v>
      </c>
      <c r="AB75" s="10"/>
    </row>
    <row r="76" spans="1:28" s="56" customFormat="1" ht="14.25" customHeight="1">
      <c r="A76" s="816" t="s">
        <v>104</v>
      </c>
      <c r="B76" s="533" t="s">
        <v>508</v>
      </c>
      <c r="C76" s="535" t="s">
        <v>5</v>
      </c>
      <c r="D76" s="289" t="s">
        <v>516</v>
      </c>
      <c r="E76" s="534">
        <f>Parameter!$C$100</f>
        <v>5</v>
      </c>
      <c r="F76" s="533"/>
      <c r="G76" s="535" t="s">
        <v>5</v>
      </c>
      <c r="H76" s="533"/>
      <c r="I76" s="533"/>
      <c r="J76" s="536">
        <f t="shared" ref="J76:J81" si="64">IFERROR(J$53*J36/100,0)</f>
        <v>0</v>
      </c>
      <c r="K76" s="574">
        <f>ROUND($E$76*J76,)</f>
        <v>0</v>
      </c>
      <c r="L76" s="575"/>
      <c r="M76" s="536">
        <f t="shared" ref="M76:M81" si="65">IFERROR(M$53*M36/100,0)</f>
        <v>0</v>
      </c>
      <c r="N76" s="574">
        <f t="shared" ref="N76" si="66">ROUND($E$76*M76,)</f>
        <v>0</v>
      </c>
      <c r="O76" s="575"/>
      <c r="P76" s="536">
        <f t="shared" ref="P76" si="67">IFERROR(P$53*P36/100,0)</f>
        <v>0</v>
      </c>
      <c r="Q76" s="574">
        <f t="shared" ref="Q76" si="68">ROUND($E$76*P76,)</f>
        <v>0</v>
      </c>
      <c r="R76" s="575"/>
      <c r="S76" s="536">
        <f t="shared" ref="S76" si="69">IFERROR(S$53*S36/100,0)</f>
        <v>0</v>
      </c>
      <c r="T76" s="574">
        <f t="shared" ref="T76" si="70">ROUND($E$76*S76,)</f>
        <v>0</v>
      </c>
      <c r="U76" s="575"/>
      <c r="V76" s="536">
        <f t="shared" ref="V76" si="71">IFERROR(V$53*V36/100,0)</f>
        <v>0</v>
      </c>
      <c r="W76" s="574">
        <f t="shared" ref="W76" si="72">ROUND($E$76*V76,)</f>
        <v>0</v>
      </c>
      <c r="X76" s="575"/>
      <c r="Y76" s="536">
        <f t="shared" ref="Y76" si="73">IFERROR(Y$53*Y36/100,0)</f>
        <v>0</v>
      </c>
      <c r="Z76" s="574">
        <f t="shared" ref="Z76" si="74">ROUND($E$76*Y76,)</f>
        <v>0</v>
      </c>
      <c r="AA76" s="575"/>
      <c r="AB76" s="78"/>
    </row>
    <row r="77" spans="1:28" s="56" customFormat="1" ht="14.25" customHeight="1">
      <c r="A77" s="817" t="s">
        <v>104</v>
      </c>
      <c r="B77" s="537" t="s">
        <v>509</v>
      </c>
      <c r="C77" s="539" t="s">
        <v>5</v>
      </c>
      <c r="D77" s="392" t="s">
        <v>516</v>
      </c>
      <c r="E77" s="538">
        <f>Parameter!$C$101</f>
        <v>-20</v>
      </c>
      <c r="F77" s="537"/>
      <c r="G77" s="539" t="s">
        <v>5</v>
      </c>
      <c r="H77" s="537"/>
      <c r="I77" s="537"/>
      <c r="J77" s="541">
        <f t="shared" si="64"/>
        <v>0</v>
      </c>
      <c r="K77" s="279">
        <f>ROUND($E$77*J77,)</f>
        <v>0</v>
      </c>
      <c r="L77" s="540"/>
      <c r="M77" s="541">
        <f t="shared" si="65"/>
        <v>0</v>
      </c>
      <c r="N77" s="279">
        <f t="shared" ref="N77" si="75">ROUND($E$77*M77,)</f>
        <v>0</v>
      </c>
      <c r="O77" s="540"/>
      <c r="P77" s="541">
        <f>IFERROR(P$53*P37/100,0)</f>
        <v>0</v>
      </c>
      <c r="Q77" s="279">
        <f t="shared" ref="Q77" si="76">ROUND($E$77*P77,)</f>
        <v>0</v>
      </c>
      <c r="R77" s="540"/>
      <c r="S77" s="541">
        <f>IFERROR(S$53*S37/100,0)</f>
        <v>0</v>
      </c>
      <c r="T77" s="279">
        <f t="shared" ref="T77" si="77">ROUND($E$77*S77,)</f>
        <v>0</v>
      </c>
      <c r="U77" s="540"/>
      <c r="V77" s="541">
        <f>IFERROR(V$53*V37/100,0)</f>
        <v>0</v>
      </c>
      <c r="W77" s="279">
        <f t="shared" ref="W77" si="78">ROUND($E$77*V77,)</f>
        <v>0</v>
      </c>
      <c r="X77" s="540"/>
      <c r="Y77" s="541">
        <f>IFERROR(Y$53*Y37/100,0)</f>
        <v>0</v>
      </c>
      <c r="Z77" s="279">
        <f t="shared" ref="Z77" si="79">ROUND($E$77*Y77,)</f>
        <v>0</v>
      </c>
      <c r="AA77" s="576"/>
      <c r="AB77" s="78"/>
    </row>
    <row r="78" spans="1:28" s="56" customFormat="1" ht="14.25" customHeight="1">
      <c r="A78" s="817" t="s">
        <v>104</v>
      </c>
      <c r="B78" s="537" t="s">
        <v>510</v>
      </c>
      <c r="C78" s="539" t="s">
        <v>5</v>
      </c>
      <c r="D78" s="392" t="s">
        <v>516</v>
      </c>
      <c r="E78" s="538">
        <f>Parameter!$C$102</f>
        <v>-20</v>
      </c>
      <c r="F78" s="537"/>
      <c r="G78" s="539" t="s">
        <v>5</v>
      </c>
      <c r="H78" s="537"/>
      <c r="I78" s="537"/>
      <c r="J78" s="541">
        <f t="shared" si="64"/>
        <v>0</v>
      </c>
      <c r="K78" s="279">
        <f>ROUND($E$78*J78,)</f>
        <v>0</v>
      </c>
      <c r="L78" s="540"/>
      <c r="M78" s="541">
        <f t="shared" si="65"/>
        <v>0</v>
      </c>
      <c r="N78" s="279">
        <f t="shared" ref="N78" si="80">ROUND($E$78*M78,)</f>
        <v>0</v>
      </c>
      <c r="O78" s="540"/>
      <c r="P78" s="541">
        <f>IFERROR(P$53*P38/100,0)</f>
        <v>0</v>
      </c>
      <c r="Q78" s="279">
        <f t="shared" ref="Q78" si="81">ROUND($E$78*P78,)</f>
        <v>0</v>
      </c>
      <c r="R78" s="540"/>
      <c r="S78" s="541">
        <f>IFERROR(S$53*S38/100,0)</f>
        <v>0</v>
      </c>
      <c r="T78" s="279">
        <f t="shared" ref="T78" si="82">ROUND($E$78*S78,)</f>
        <v>0</v>
      </c>
      <c r="U78" s="540"/>
      <c r="V78" s="541">
        <f>IFERROR(V$53*V38/100,0)</f>
        <v>0</v>
      </c>
      <c r="W78" s="279">
        <f t="shared" ref="W78" si="83">ROUND($E$78*V78,)</f>
        <v>0</v>
      </c>
      <c r="X78" s="540"/>
      <c r="Y78" s="541">
        <f>IFERROR(Y$53*Y38/100,0)</f>
        <v>0</v>
      </c>
      <c r="Z78" s="279">
        <f t="shared" ref="Z78" si="84">ROUND($E$78*Y78,)</f>
        <v>0</v>
      </c>
      <c r="AA78" s="576"/>
      <c r="AB78" s="78"/>
    </row>
    <row r="79" spans="1:28" s="56" customFormat="1" ht="14.25" customHeight="1">
      <c r="A79" s="817" t="s">
        <v>104</v>
      </c>
      <c r="B79" s="537" t="s">
        <v>511</v>
      </c>
      <c r="C79" s="539" t="s">
        <v>5</v>
      </c>
      <c r="D79" s="392" t="s">
        <v>516</v>
      </c>
      <c r="E79" s="538">
        <f>Parameter!$C$103</f>
        <v>15</v>
      </c>
      <c r="F79" s="537"/>
      <c r="G79" s="539" t="s">
        <v>5</v>
      </c>
      <c r="H79" s="537"/>
      <c r="I79" s="537"/>
      <c r="J79" s="552">
        <f t="shared" si="64"/>
        <v>0</v>
      </c>
      <c r="K79" s="279">
        <f>ROUND($E$79*J79,)</f>
        <v>0</v>
      </c>
      <c r="L79" s="540"/>
      <c r="M79" s="552">
        <f t="shared" si="65"/>
        <v>0</v>
      </c>
      <c r="N79" s="279">
        <f t="shared" ref="N79" si="85">ROUND($E$79*M79,)</f>
        <v>0</v>
      </c>
      <c r="O79" s="540"/>
      <c r="P79" s="552">
        <f>IFERROR(P$53*P39/100,0)</f>
        <v>0</v>
      </c>
      <c r="Q79" s="279">
        <f t="shared" ref="Q79" si="86">ROUND($E$79*P79,)</f>
        <v>0</v>
      </c>
      <c r="R79" s="540"/>
      <c r="S79" s="552">
        <f>IFERROR(S$53*S39/100,0)</f>
        <v>0</v>
      </c>
      <c r="T79" s="279">
        <f t="shared" ref="T79" si="87">ROUND($E$79*S79,)</f>
        <v>0</v>
      </c>
      <c r="U79" s="540"/>
      <c r="V79" s="552">
        <f>IFERROR(V$53*V39/100,0)</f>
        <v>0</v>
      </c>
      <c r="W79" s="279">
        <f t="shared" ref="W79" si="88">ROUND($E$79*V79,)</f>
        <v>0</v>
      </c>
      <c r="X79" s="540"/>
      <c r="Y79" s="552">
        <f>IFERROR(Y$53*Y39/100,0)</f>
        <v>0</v>
      </c>
      <c r="Z79" s="279">
        <f t="shared" ref="Z79" si="89">ROUND($E$79*Y79,)</f>
        <v>0</v>
      </c>
      <c r="AA79" s="576"/>
      <c r="AB79" s="78"/>
    </row>
    <row r="80" spans="1:28" s="56" customFormat="1" ht="14.25" customHeight="1">
      <c r="A80" s="817" t="s">
        <v>104</v>
      </c>
      <c r="B80" s="537" t="s">
        <v>512</v>
      </c>
      <c r="C80" s="539" t="s">
        <v>5</v>
      </c>
      <c r="D80" s="392" t="s">
        <v>516</v>
      </c>
      <c r="E80" s="538">
        <f>Parameter!$C$104</f>
        <v>40</v>
      </c>
      <c r="F80" s="537"/>
      <c r="G80" s="539" t="s">
        <v>5</v>
      </c>
      <c r="H80" s="537"/>
      <c r="I80" s="537"/>
      <c r="J80" s="552">
        <f t="shared" si="64"/>
        <v>0</v>
      </c>
      <c r="K80" s="279">
        <f>ROUND($E$80*J80,)</f>
        <v>0</v>
      </c>
      <c r="L80" s="540"/>
      <c r="M80" s="552">
        <f t="shared" si="65"/>
        <v>0</v>
      </c>
      <c r="N80" s="279">
        <f t="shared" ref="N80" si="90">ROUND($E$80*M80,)</f>
        <v>0</v>
      </c>
      <c r="O80" s="540"/>
      <c r="P80" s="552">
        <f>IFERROR(P$53*P40/100,0)</f>
        <v>0</v>
      </c>
      <c r="Q80" s="279">
        <f t="shared" ref="Q80" si="91">ROUND($E$80*P80,)</f>
        <v>0</v>
      </c>
      <c r="R80" s="540"/>
      <c r="S80" s="552">
        <f>IFERROR(S$53*S40/100,0)</f>
        <v>0</v>
      </c>
      <c r="T80" s="279">
        <f t="shared" ref="T80" si="92">ROUND($E$80*S80,)</f>
        <v>0</v>
      </c>
      <c r="U80" s="540"/>
      <c r="V80" s="552">
        <f>IFERROR(V$53*V40/100,0)</f>
        <v>0</v>
      </c>
      <c r="W80" s="279">
        <f t="shared" ref="W80" si="93">ROUND($E$80*V80,)</f>
        <v>0</v>
      </c>
      <c r="X80" s="540"/>
      <c r="Y80" s="552">
        <f>IFERROR(Y$53*Y40/100,0)</f>
        <v>0</v>
      </c>
      <c r="Z80" s="279">
        <f t="shared" ref="Z80" si="94">ROUND($E$80*Y80,)</f>
        <v>0</v>
      </c>
      <c r="AA80" s="576"/>
      <c r="AB80" s="78"/>
    </row>
    <row r="81" spans="1:28" s="56" customFormat="1" ht="14.25" customHeight="1">
      <c r="A81" s="818" t="s">
        <v>104</v>
      </c>
      <c r="B81" s="542" t="s">
        <v>513</v>
      </c>
      <c r="C81" s="544" t="s">
        <v>5</v>
      </c>
      <c r="D81" s="211" t="s">
        <v>526</v>
      </c>
      <c r="E81" s="543">
        <f>Parameter!$C$105</f>
        <v>60</v>
      </c>
      <c r="F81" s="542"/>
      <c r="G81" s="544" t="s">
        <v>5</v>
      </c>
      <c r="H81" s="542"/>
      <c r="I81" s="542"/>
      <c r="J81" s="553">
        <f t="shared" si="64"/>
        <v>0</v>
      </c>
      <c r="K81" s="577">
        <f>ROUND($E$81*J81,)</f>
        <v>0</v>
      </c>
      <c r="L81" s="545"/>
      <c r="M81" s="553">
        <f t="shared" si="65"/>
        <v>0</v>
      </c>
      <c r="N81" s="577">
        <f t="shared" ref="N81" si="95">ROUND($E$81*M81,)</f>
        <v>0</v>
      </c>
      <c r="O81" s="545"/>
      <c r="P81" s="553">
        <f>IFERROR(P$53*P41/100,0)</f>
        <v>0</v>
      </c>
      <c r="Q81" s="577">
        <f t="shared" ref="Q81" si="96">ROUND($E$81*P81,)</f>
        <v>0</v>
      </c>
      <c r="R81" s="545"/>
      <c r="S81" s="553">
        <f>IFERROR(S$53*S41/100,0)</f>
        <v>0</v>
      </c>
      <c r="T81" s="577">
        <f t="shared" ref="T81" si="97">ROUND($E$81*S81,)</f>
        <v>0</v>
      </c>
      <c r="U81" s="545"/>
      <c r="V81" s="553">
        <f>IFERROR(V$53*V41/100,0)</f>
        <v>0</v>
      </c>
      <c r="W81" s="577">
        <f t="shared" ref="W81" si="98">ROUND($E$81*V81,)</f>
        <v>0</v>
      </c>
      <c r="X81" s="545"/>
      <c r="Y81" s="553">
        <f>IFERROR(Y$53*Y41/100,0)</f>
        <v>0</v>
      </c>
      <c r="Z81" s="577">
        <f t="shared" ref="Z81" si="99">ROUND($E$81*Y81,)</f>
        <v>0</v>
      </c>
      <c r="AA81" s="578"/>
      <c r="AB81" s="78"/>
    </row>
    <row r="82" spans="1:28" ht="14.25" customHeight="1">
      <c r="F82" s="50"/>
      <c r="G82" s="53"/>
      <c r="H82" s="271"/>
      <c r="K82" s="830"/>
      <c r="L82" s="271"/>
      <c r="M82" s="820"/>
      <c r="N82" s="271"/>
      <c r="O82" s="820"/>
      <c r="P82" s="271"/>
      <c r="Q82" s="820"/>
      <c r="R82" s="271"/>
      <c r="S82" s="820"/>
      <c r="T82" s="271"/>
      <c r="U82" s="820"/>
      <c r="V82" s="271"/>
    </row>
    <row r="83" spans="1:28" ht="14.25" customHeight="1">
      <c r="F83" s="50"/>
      <c r="G83" s="53"/>
      <c r="H83" s="271"/>
      <c r="K83" s="820"/>
      <c r="L83" s="271"/>
      <c r="M83" s="820"/>
      <c r="N83" s="820"/>
      <c r="O83" s="820"/>
      <c r="P83" s="271"/>
      <c r="Q83" s="820"/>
      <c r="R83" s="271"/>
      <c r="S83" s="820"/>
      <c r="T83" s="271"/>
      <c r="U83" s="820"/>
      <c r="V83" s="271"/>
    </row>
    <row r="84" spans="1:28" ht="14.25" customHeight="1">
      <c r="E84" s="50"/>
      <c r="F84" s="50"/>
      <c r="G84" s="53"/>
      <c r="K84" s="820"/>
      <c r="L84" s="271"/>
      <c r="M84" s="820"/>
      <c r="N84" s="820"/>
      <c r="O84" s="820"/>
      <c r="P84" s="271"/>
      <c r="Q84" s="820"/>
      <c r="R84" s="271"/>
      <c r="S84" s="820"/>
      <c r="T84" s="271"/>
      <c r="U84" s="820"/>
      <c r="V84" s="271"/>
    </row>
    <row r="85" spans="1:28" ht="14.25" customHeight="1">
      <c r="E85" s="50"/>
      <c r="F85" s="50"/>
      <c r="G85" s="53"/>
      <c r="K85" s="820"/>
      <c r="L85" s="271"/>
      <c r="M85" s="820"/>
      <c r="N85" s="271"/>
      <c r="O85" s="820"/>
      <c r="P85" s="271"/>
      <c r="Q85" s="820"/>
      <c r="R85" s="271"/>
      <c r="S85" s="820"/>
      <c r="T85" s="271"/>
      <c r="U85" s="820"/>
      <c r="V85" s="271"/>
    </row>
    <row r="86" spans="1:28" ht="14.25" customHeight="1">
      <c r="E86" s="50"/>
      <c r="F86" s="50"/>
      <c r="G86" s="53"/>
      <c r="K86" s="820"/>
      <c r="L86" s="271"/>
      <c r="M86" s="820"/>
      <c r="N86" s="271"/>
      <c r="O86" s="820"/>
      <c r="P86" s="271"/>
      <c r="Q86" s="820"/>
      <c r="R86" s="271"/>
      <c r="S86" s="820"/>
      <c r="T86" s="271"/>
      <c r="U86" s="820"/>
      <c r="V86" s="271"/>
    </row>
    <row r="87" spans="1:28" ht="14.25" customHeight="1">
      <c r="E87" s="50"/>
      <c r="F87" s="50"/>
      <c r="G87" s="53"/>
      <c r="K87" s="820"/>
      <c r="L87" s="271"/>
      <c r="M87" s="820"/>
      <c r="N87" s="271"/>
      <c r="O87" s="820"/>
      <c r="P87" s="271"/>
      <c r="Q87" s="820"/>
      <c r="R87" s="271"/>
      <c r="S87" s="820"/>
      <c r="T87" s="271"/>
      <c r="U87" s="820"/>
      <c r="V87" s="271"/>
    </row>
    <row r="88" spans="1:28" ht="14.25" customHeight="1">
      <c r="E88" s="50"/>
      <c r="F88" s="50"/>
      <c r="G88" s="53"/>
      <c r="K88" s="820"/>
      <c r="L88" s="271"/>
      <c r="M88" s="820"/>
      <c r="N88" s="271"/>
      <c r="O88" s="820"/>
      <c r="P88" s="271"/>
      <c r="Q88" s="820"/>
      <c r="R88" s="271"/>
      <c r="S88" s="820"/>
      <c r="T88" s="271"/>
      <c r="U88" s="820"/>
      <c r="V88" s="271"/>
    </row>
    <row r="89" spans="1:28" ht="14.25" customHeight="1">
      <c r="E89" s="50"/>
      <c r="F89" s="50"/>
      <c r="G89" s="53"/>
      <c r="K89" s="820"/>
      <c r="L89" s="271"/>
      <c r="M89" s="820"/>
      <c r="N89" s="271"/>
      <c r="O89" s="820"/>
      <c r="P89" s="271"/>
      <c r="Q89" s="820"/>
      <c r="R89" s="271"/>
      <c r="S89" s="820"/>
      <c r="T89" s="271"/>
      <c r="U89" s="820"/>
      <c r="V89" s="271"/>
    </row>
    <row r="90" spans="1:28" ht="14.25" customHeight="1">
      <c r="E90" s="50"/>
      <c r="F90" s="50"/>
      <c r="G90" s="53"/>
      <c r="K90" s="820"/>
      <c r="L90" s="271"/>
      <c r="M90" s="820"/>
      <c r="N90" s="271"/>
      <c r="O90" s="820"/>
      <c r="P90" s="271"/>
      <c r="Q90" s="820"/>
      <c r="R90" s="271"/>
      <c r="S90" s="820"/>
      <c r="T90" s="271"/>
      <c r="U90" s="820"/>
      <c r="V90" s="271"/>
    </row>
    <row r="91" spans="1:28" ht="14.25" customHeight="1">
      <c r="E91" s="50"/>
      <c r="F91" s="50"/>
      <c r="G91" s="53"/>
      <c r="K91" s="820"/>
      <c r="L91" s="271"/>
      <c r="M91" s="820"/>
      <c r="N91" s="271"/>
      <c r="O91" s="820"/>
      <c r="P91" s="271"/>
      <c r="Q91" s="820"/>
      <c r="R91" s="271"/>
      <c r="S91" s="820"/>
      <c r="T91" s="271"/>
      <c r="U91" s="820"/>
      <c r="V91" s="271"/>
    </row>
    <row r="92" spans="1:28" ht="14.25" customHeight="1">
      <c r="E92" s="50"/>
      <c r="F92" s="50"/>
      <c r="G92" s="53"/>
      <c r="K92" s="820"/>
      <c r="L92" s="271"/>
      <c r="M92" s="820"/>
      <c r="N92" s="271"/>
      <c r="O92" s="820"/>
      <c r="P92" s="271"/>
      <c r="Q92" s="820"/>
      <c r="R92" s="271"/>
      <c r="S92" s="820"/>
      <c r="T92" s="271"/>
      <c r="U92" s="820"/>
      <c r="V92" s="271"/>
    </row>
    <row r="93" spans="1:28" ht="14.25" customHeight="1">
      <c r="E93" s="50"/>
      <c r="F93" s="50"/>
      <c r="G93" s="53"/>
      <c r="K93" s="820"/>
      <c r="L93" s="271"/>
      <c r="M93" s="820"/>
      <c r="N93" s="271"/>
      <c r="O93" s="820"/>
      <c r="P93" s="271"/>
      <c r="Q93" s="820"/>
      <c r="R93" s="271"/>
      <c r="S93" s="820"/>
      <c r="T93" s="271"/>
      <c r="U93" s="820"/>
      <c r="V93" s="271"/>
    </row>
    <row r="94" spans="1:28" ht="14.25" customHeight="1">
      <c r="E94" s="50"/>
      <c r="F94" s="50"/>
      <c r="G94" s="53"/>
      <c r="K94" s="820"/>
      <c r="L94" s="271"/>
      <c r="M94" s="820"/>
      <c r="N94" s="271"/>
      <c r="O94" s="820"/>
      <c r="P94" s="271"/>
      <c r="Q94" s="820"/>
      <c r="R94" s="271"/>
      <c r="S94" s="820"/>
      <c r="T94" s="271"/>
      <c r="U94" s="820"/>
      <c r="V94" s="271"/>
    </row>
    <row r="95" spans="1:28" ht="14.25" customHeight="1">
      <c r="E95" s="50"/>
      <c r="F95" s="50"/>
      <c r="G95" s="53"/>
      <c r="K95" s="820"/>
      <c r="L95" s="271"/>
      <c r="M95" s="820"/>
      <c r="N95" s="271"/>
      <c r="O95" s="820"/>
      <c r="P95" s="271"/>
      <c r="Q95" s="820"/>
      <c r="R95" s="271"/>
      <c r="S95" s="820"/>
      <c r="T95" s="271"/>
      <c r="U95" s="820"/>
      <c r="V95" s="271"/>
    </row>
    <row r="96" spans="1:28" ht="14.25" customHeight="1">
      <c r="E96" s="50"/>
      <c r="F96" s="50"/>
      <c r="G96" s="53"/>
      <c r="K96" s="820"/>
      <c r="L96" s="271"/>
      <c r="M96" s="820"/>
      <c r="N96" s="271"/>
      <c r="O96" s="820"/>
      <c r="P96" s="271"/>
      <c r="Q96" s="820"/>
      <c r="R96" s="271"/>
      <c r="S96" s="820"/>
      <c r="T96" s="271"/>
      <c r="U96" s="820"/>
      <c r="V96" s="271"/>
    </row>
    <row r="97" spans="5:22" ht="14.25" customHeight="1">
      <c r="E97" s="50"/>
      <c r="F97" s="50"/>
      <c r="G97" s="53"/>
      <c r="K97" s="820"/>
      <c r="L97" s="271"/>
      <c r="M97" s="820"/>
      <c r="N97" s="271"/>
      <c r="O97" s="820"/>
      <c r="P97" s="271"/>
      <c r="Q97" s="820"/>
      <c r="R97" s="271"/>
      <c r="S97" s="820"/>
      <c r="T97" s="271"/>
      <c r="U97" s="820"/>
      <c r="V97" s="271"/>
    </row>
    <row r="98" spans="5:22" ht="14.25" customHeight="1">
      <c r="E98" s="50"/>
      <c r="F98" s="50"/>
      <c r="G98" s="53"/>
      <c r="K98" s="820"/>
      <c r="L98" s="271"/>
      <c r="M98" s="820"/>
      <c r="N98" s="271"/>
      <c r="O98" s="820"/>
      <c r="P98" s="271"/>
      <c r="Q98" s="820"/>
      <c r="R98" s="271"/>
      <c r="S98" s="820"/>
      <c r="T98" s="271"/>
      <c r="U98" s="820"/>
      <c r="V98" s="271"/>
    </row>
    <row r="99" spans="5:22" ht="14.25" customHeight="1">
      <c r="E99" s="50"/>
      <c r="F99" s="50"/>
      <c r="G99" s="53"/>
      <c r="K99" s="820"/>
      <c r="L99" s="271"/>
      <c r="M99" s="820"/>
      <c r="N99" s="271"/>
      <c r="O99" s="820"/>
      <c r="P99" s="271"/>
      <c r="Q99" s="820"/>
      <c r="R99" s="271"/>
      <c r="S99" s="820"/>
      <c r="T99" s="271"/>
      <c r="U99" s="820"/>
      <c r="V99" s="271"/>
    </row>
    <row r="100" spans="5:22" ht="14.25" customHeight="1">
      <c r="E100" s="50"/>
      <c r="F100" s="50"/>
      <c r="G100" s="53"/>
      <c r="K100" s="820"/>
      <c r="L100" s="271"/>
      <c r="M100" s="820"/>
      <c r="N100" s="271"/>
      <c r="O100" s="820"/>
      <c r="P100" s="271"/>
      <c r="Q100" s="820"/>
      <c r="R100" s="271"/>
      <c r="S100" s="820"/>
      <c r="T100" s="271"/>
      <c r="U100" s="820"/>
      <c r="V100" s="271"/>
    </row>
    <row r="101" spans="5:22" ht="14.25" customHeight="1">
      <c r="E101" s="50"/>
      <c r="F101" s="50"/>
      <c r="G101" s="53"/>
      <c r="K101" s="820"/>
      <c r="L101" s="271"/>
      <c r="M101" s="820"/>
      <c r="N101" s="271"/>
      <c r="O101" s="820"/>
      <c r="P101" s="271"/>
      <c r="Q101" s="820"/>
      <c r="R101" s="271"/>
      <c r="S101" s="820"/>
      <c r="T101" s="271"/>
      <c r="U101" s="820"/>
      <c r="V101" s="271"/>
    </row>
    <row r="102" spans="5:22" ht="14.25" customHeight="1">
      <c r="E102" s="50"/>
      <c r="F102" s="50"/>
      <c r="G102" s="53"/>
      <c r="K102" s="820"/>
      <c r="L102" s="271"/>
      <c r="M102" s="820"/>
      <c r="N102" s="271"/>
      <c r="O102" s="820"/>
      <c r="P102" s="271"/>
      <c r="Q102" s="820"/>
      <c r="R102" s="271"/>
      <c r="S102" s="820"/>
      <c r="T102" s="271"/>
      <c r="U102" s="820"/>
      <c r="V102" s="271"/>
    </row>
    <row r="103" spans="5:22" ht="14.25" customHeight="1">
      <c r="E103" s="50"/>
      <c r="F103" s="50"/>
      <c r="G103" s="53"/>
      <c r="K103" s="820"/>
      <c r="L103" s="271"/>
      <c r="M103" s="820"/>
      <c r="N103" s="271"/>
      <c r="O103" s="820"/>
      <c r="P103" s="271"/>
      <c r="Q103" s="820"/>
      <c r="R103" s="271"/>
      <c r="S103" s="820"/>
      <c r="T103" s="271"/>
      <c r="U103" s="820"/>
      <c r="V103" s="271"/>
    </row>
    <row r="104" spans="5:22" ht="14.25" customHeight="1">
      <c r="E104" s="50"/>
      <c r="F104" s="50"/>
      <c r="G104" s="53"/>
      <c r="K104" s="820"/>
      <c r="L104" s="271"/>
      <c r="M104" s="820"/>
      <c r="N104" s="271"/>
      <c r="O104" s="820"/>
      <c r="P104" s="271"/>
      <c r="Q104" s="820"/>
      <c r="R104" s="271"/>
      <c r="S104" s="820"/>
      <c r="T104" s="271"/>
      <c r="U104" s="820"/>
      <c r="V104" s="271"/>
    </row>
    <row r="105" spans="5:22" ht="14.25" customHeight="1">
      <c r="E105" s="50"/>
      <c r="F105" s="50"/>
      <c r="G105" s="53"/>
      <c r="K105" s="820"/>
      <c r="L105" s="271"/>
      <c r="M105" s="820"/>
      <c r="N105" s="271"/>
      <c r="O105" s="820"/>
      <c r="P105" s="271"/>
      <c r="Q105" s="820"/>
      <c r="R105" s="271"/>
      <c r="S105" s="820"/>
      <c r="T105" s="271"/>
      <c r="U105" s="820"/>
      <c r="V105" s="271"/>
    </row>
    <row r="106" spans="5:22" ht="14.25" customHeight="1">
      <c r="E106" s="50"/>
      <c r="F106" s="50"/>
      <c r="G106" s="53"/>
      <c r="K106" s="820"/>
      <c r="L106" s="271"/>
      <c r="M106" s="820"/>
      <c r="N106" s="271"/>
      <c r="O106" s="820"/>
      <c r="P106" s="271"/>
      <c r="Q106" s="820"/>
      <c r="R106" s="271"/>
      <c r="S106" s="820"/>
      <c r="T106" s="271"/>
      <c r="U106" s="820"/>
      <c r="V106" s="271"/>
    </row>
    <row r="107" spans="5:22" ht="14.25" customHeight="1">
      <c r="E107" s="50"/>
      <c r="F107" s="50"/>
      <c r="G107" s="53"/>
      <c r="K107" s="820"/>
      <c r="L107" s="271"/>
      <c r="M107" s="820"/>
      <c r="N107" s="271"/>
      <c r="O107" s="820"/>
      <c r="P107" s="271"/>
      <c r="Q107" s="820"/>
      <c r="R107" s="271"/>
      <c r="S107" s="820"/>
      <c r="T107" s="271"/>
      <c r="U107" s="820"/>
      <c r="V107" s="271"/>
    </row>
    <row r="108" spans="5:22" ht="14.25" customHeight="1">
      <c r="E108" s="50"/>
      <c r="F108" s="50"/>
      <c r="G108" s="53"/>
      <c r="K108" s="820"/>
      <c r="L108" s="271"/>
      <c r="M108" s="820"/>
      <c r="N108" s="271"/>
      <c r="O108" s="820"/>
      <c r="P108" s="271"/>
      <c r="Q108" s="820"/>
      <c r="R108" s="271"/>
      <c r="S108" s="820"/>
      <c r="T108" s="271"/>
      <c r="U108" s="820"/>
      <c r="V108" s="271"/>
    </row>
    <row r="109" spans="5:22" ht="14.25" customHeight="1">
      <c r="E109" s="50"/>
      <c r="F109" s="50"/>
      <c r="G109" s="53"/>
      <c r="K109" s="820"/>
      <c r="L109" s="271"/>
      <c r="M109" s="820"/>
      <c r="N109" s="271"/>
      <c r="O109" s="820"/>
      <c r="P109" s="271"/>
      <c r="Q109" s="820"/>
      <c r="R109" s="271"/>
      <c r="S109" s="820"/>
      <c r="T109" s="271"/>
      <c r="U109" s="820"/>
      <c r="V109" s="271"/>
    </row>
    <row r="110" spans="5:22" ht="14.25" customHeight="1">
      <c r="E110" s="50"/>
      <c r="F110" s="50"/>
      <c r="G110" s="53"/>
      <c r="K110" s="820"/>
      <c r="L110" s="271"/>
      <c r="M110" s="820"/>
      <c r="N110" s="271"/>
      <c r="O110" s="820"/>
      <c r="P110" s="271"/>
      <c r="Q110" s="820"/>
      <c r="R110" s="271"/>
      <c r="S110" s="820"/>
      <c r="T110" s="271"/>
      <c r="U110" s="820"/>
      <c r="V110" s="271"/>
    </row>
    <row r="111" spans="5:22" ht="14.25" customHeight="1">
      <c r="E111" s="50"/>
      <c r="F111" s="50"/>
      <c r="G111" s="53"/>
      <c r="K111" s="820"/>
      <c r="L111" s="271"/>
      <c r="M111" s="820"/>
      <c r="N111" s="271"/>
      <c r="O111" s="820"/>
      <c r="P111" s="271"/>
      <c r="Q111" s="820"/>
      <c r="R111" s="271"/>
      <c r="S111" s="820"/>
      <c r="T111" s="271"/>
      <c r="U111" s="820"/>
      <c r="V111" s="271"/>
    </row>
    <row r="112" spans="5:22" ht="14.25" customHeight="1">
      <c r="E112" s="50"/>
      <c r="F112" s="50"/>
      <c r="G112" s="53"/>
      <c r="K112" s="820"/>
      <c r="L112" s="271"/>
      <c r="M112" s="820"/>
      <c r="N112" s="271"/>
      <c r="O112" s="820"/>
      <c r="P112" s="271"/>
      <c r="Q112" s="820"/>
      <c r="R112" s="271"/>
      <c r="S112" s="820"/>
      <c r="T112" s="271"/>
      <c r="U112" s="820"/>
      <c r="V112" s="271"/>
    </row>
    <row r="113" spans="5:22" ht="14.25" customHeight="1">
      <c r="E113" s="50"/>
      <c r="F113" s="50"/>
      <c r="G113" s="53"/>
      <c r="K113" s="820"/>
      <c r="L113" s="271"/>
      <c r="M113" s="820"/>
      <c r="N113" s="271"/>
      <c r="O113" s="820"/>
      <c r="P113" s="271"/>
      <c r="Q113" s="820"/>
      <c r="R113" s="271"/>
      <c r="S113" s="820"/>
      <c r="T113" s="271"/>
      <c r="U113" s="820"/>
      <c r="V113" s="271"/>
    </row>
    <row r="114" spans="5:22" ht="14.25" customHeight="1">
      <c r="E114" s="50"/>
      <c r="F114" s="50"/>
      <c r="G114" s="53"/>
      <c r="K114" s="820"/>
      <c r="L114" s="271"/>
      <c r="M114" s="820"/>
      <c r="N114" s="271"/>
      <c r="O114" s="820"/>
      <c r="P114" s="271"/>
      <c r="Q114" s="820"/>
      <c r="R114" s="271"/>
      <c r="S114" s="820"/>
      <c r="T114" s="271"/>
      <c r="U114" s="820"/>
      <c r="V114" s="271"/>
    </row>
    <row r="115" spans="5:22" ht="14.25" customHeight="1">
      <c r="E115" s="50"/>
      <c r="F115" s="50"/>
      <c r="G115" s="53"/>
      <c r="K115" s="820"/>
      <c r="L115" s="271"/>
      <c r="M115" s="820"/>
      <c r="N115" s="271"/>
      <c r="O115" s="820"/>
      <c r="P115" s="271"/>
      <c r="Q115" s="820"/>
      <c r="R115" s="271"/>
      <c r="S115" s="820"/>
      <c r="T115" s="271"/>
      <c r="U115" s="820"/>
      <c r="V115" s="271"/>
    </row>
    <row r="116" spans="5:22" ht="14.25" customHeight="1">
      <c r="E116" s="50"/>
      <c r="F116" s="50"/>
      <c r="G116" s="53"/>
      <c r="K116" s="820"/>
      <c r="L116" s="271"/>
      <c r="M116" s="820"/>
      <c r="N116" s="271"/>
      <c r="O116" s="820"/>
      <c r="P116" s="271"/>
      <c r="Q116" s="820"/>
      <c r="R116" s="271"/>
      <c r="S116" s="820"/>
      <c r="T116" s="271"/>
      <c r="U116" s="820"/>
      <c r="V116" s="271"/>
    </row>
    <row r="117" spans="5:22" ht="14.25" customHeight="1">
      <c r="E117" s="50"/>
      <c r="F117" s="50"/>
      <c r="G117" s="53"/>
      <c r="K117" s="820"/>
      <c r="L117" s="271"/>
      <c r="M117" s="820"/>
      <c r="N117" s="271"/>
      <c r="O117" s="820"/>
      <c r="P117" s="271"/>
      <c r="Q117" s="820"/>
      <c r="R117" s="271"/>
      <c r="S117" s="820"/>
      <c r="T117" s="271"/>
      <c r="U117" s="820"/>
      <c r="V117" s="271"/>
    </row>
    <row r="118" spans="5:22" ht="14.25" customHeight="1">
      <c r="E118" s="50"/>
      <c r="F118" s="50"/>
      <c r="G118" s="53"/>
      <c r="K118" s="820"/>
      <c r="L118" s="271"/>
      <c r="M118" s="820"/>
      <c r="N118" s="271"/>
      <c r="O118" s="820"/>
      <c r="P118" s="271"/>
      <c r="Q118" s="820"/>
      <c r="R118" s="271"/>
      <c r="S118" s="820"/>
      <c r="T118" s="271"/>
      <c r="U118" s="820"/>
      <c r="V118" s="271"/>
    </row>
    <row r="119" spans="5:22" ht="14.25" customHeight="1">
      <c r="E119" s="50"/>
      <c r="F119" s="50"/>
      <c r="G119" s="53"/>
      <c r="K119" s="820"/>
      <c r="L119" s="271"/>
      <c r="M119" s="820"/>
      <c r="N119" s="271"/>
      <c r="O119" s="820"/>
      <c r="P119" s="271"/>
      <c r="Q119" s="820"/>
      <c r="R119" s="271"/>
      <c r="S119" s="820"/>
      <c r="T119" s="271"/>
      <c r="U119" s="820"/>
      <c r="V119" s="271"/>
    </row>
    <row r="120" spans="5:22" ht="14.25" customHeight="1">
      <c r="E120" s="50"/>
      <c r="F120" s="50"/>
      <c r="G120" s="53"/>
      <c r="K120" s="820"/>
      <c r="L120" s="271"/>
      <c r="M120" s="820"/>
      <c r="N120" s="271"/>
      <c r="O120" s="820"/>
      <c r="P120" s="271"/>
      <c r="Q120" s="820"/>
      <c r="R120" s="271"/>
      <c r="S120" s="820"/>
      <c r="T120" s="271"/>
      <c r="U120" s="820"/>
      <c r="V120" s="271"/>
    </row>
    <row r="121" spans="5:22" ht="14.25" customHeight="1">
      <c r="E121" s="50"/>
      <c r="F121" s="50"/>
      <c r="G121" s="53"/>
      <c r="K121" s="820"/>
      <c r="L121" s="271"/>
      <c r="M121" s="820"/>
      <c r="N121" s="271"/>
      <c r="O121" s="820"/>
      <c r="P121" s="271"/>
      <c r="Q121" s="820"/>
      <c r="R121" s="271"/>
      <c r="S121" s="820"/>
      <c r="T121" s="271"/>
      <c r="U121" s="820"/>
      <c r="V121" s="271"/>
    </row>
    <row r="122" spans="5:22" ht="14.25" customHeight="1">
      <c r="E122" s="50"/>
      <c r="F122" s="50"/>
      <c r="G122" s="53"/>
      <c r="K122" s="820"/>
      <c r="L122" s="271"/>
      <c r="M122" s="820"/>
      <c r="N122" s="271"/>
      <c r="O122" s="820"/>
      <c r="P122" s="271"/>
      <c r="Q122" s="820"/>
      <c r="R122" s="271"/>
      <c r="S122" s="820"/>
      <c r="T122" s="271"/>
      <c r="U122" s="820"/>
      <c r="V122" s="271"/>
    </row>
    <row r="123" spans="5:22" ht="14.25" customHeight="1">
      <c r="E123" s="50"/>
      <c r="F123" s="50"/>
      <c r="G123" s="53"/>
      <c r="K123" s="820"/>
      <c r="L123" s="271"/>
      <c r="M123" s="820"/>
      <c r="N123" s="271"/>
      <c r="O123" s="820"/>
      <c r="P123" s="271"/>
      <c r="Q123" s="820"/>
      <c r="R123" s="271"/>
      <c r="S123" s="820"/>
      <c r="T123" s="271"/>
      <c r="U123" s="820"/>
      <c r="V123" s="271"/>
    </row>
    <row r="124" spans="5:22" s="417" customFormat="1" ht="14.25" customHeight="1">
      <c r="E124" s="52"/>
      <c r="F124" s="52"/>
      <c r="G124" s="54"/>
      <c r="K124" s="52"/>
      <c r="L124" s="418"/>
      <c r="M124" s="52"/>
      <c r="N124" s="418"/>
      <c r="O124" s="52"/>
      <c r="P124" s="418"/>
      <c r="Q124" s="52"/>
      <c r="R124" s="418"/>
      <c r="S124" s="52"/>
      <c r="T124" s="418"/>
      <c r="U124" s="52"/>
      <c r="V124" s="418"/>
    </row>
    <row r="125" spans="5:22" ht="14.25" customHeight="1">
      <c r="E125" s="50"/>
      <c r="F125" s="50"/>
      <c r="G125" s="53"/>
      <c r="K125" s="820"/>
      <c r="L125" s="271"/>
      <c r="M125" s="820"/>
      <c r="N125" s="271"/>
      <c r="O125" s="820"/>
      <c r="P125" s="271"/>
      <c r="Q125" s="820"/>
      <c r="R125" s="271"/>
      <c r="S125" s="820"/>
      <c r="T125" s="271"/>
      <c r="U125" s="820"/>
      <c r="V125" s="271"/>
    </row>
  </sheetData>
  <sheetProtection algorithmName="SHA-512" hashValue="cn2TtDRJRySJn2S+bNEVPDFQyU/DiJL0ZYrtDv6IL2e2Qibqx78GdmU+qb/aAqg7W82MRPdObEiZ30g6CyljBQ==" saltValue="tcoaVsxkNMbQCSLqeLBE7g==" spinCount="100000" sheet="1" objects="1" scenarios="1"/>
  <mergeCells count="350">
    <mergeCell ref="A1:C1"/>
    <mergeCell ref="J2:L2"/>
    <mergeCell ref="M2:O2"/>
    <mergeCell ref="P2:R2"/>
    <mergeCell ref="S2:U2"/>
    <mergeCell ref="V2:X2"/>
    <mergeCell ref="Y2:AA2"/>
    <mergeCell ref="J44:L44"/>
    <mergeCell ref="M44:O44"/>
    <mergeCell ref="P44:R44"/>
    <mergeCell ref="S44:U44"/>
    <mergeCell ref="V44:X44"/>
    <mergeCell ref="Y44:AA44"/>
    <mergeCell ref="J43:L43"/>
    <mergeCell ref="M43:O43"/>
    <mergeCell ref="P43:R43"/>
    <mergeCell ref="S43:U43"/>
    <mergeCell ref="V43:X43"/>
    <mergeCell ref="Y43:AA43"/>
    <mergeCell ref="J42:L42"/>
    <mergeCell ref="M42:O42"/>
    <mergeCell ref="P42:R42"/>
    <mergeCell ref="S42:U42"/>
    <mergeCell ref="V42:X42"/>
    <mergeCell ref="F62:G62"/>
    <mergeCell ref="J59:L59"/>
    <mergeCell ref="M59:O59"/>
    <mergeCell ref="P59:R59"/>
    <mergeCell ref="S59:U59"/>
    <mergeCell ref="V59:X59"/>
    <mergeCell ref="Y59:AA59"/>
    <mergeCell ref="J58:L58"/>
    <mergeCell ref="M58:O58"/>
    <mergeCell ref="P58:R58"/>
    <mergeCell ref="S58:U58"/>
    <mergeCell ref="V58:X58"/>
    <mergeCell ref="Y58:AA58"/>
    <mergeCell ref="J56:L56"/>
    <mergeCell ref="J57:L57"/>
    <mergeCell ref="M57:O57"/>
    <mergeCell ref="P57:R57"/>
    <mergeCell ref="S57:U57"/>
    <mergeCell ref="V57:X57"/>
    <mergeCell ref="Y57:AA57"/>
    <mergeCell ref="M56:O56"/>
    <mergeCell ref="P56:R56"/>
    <mergeCell ref="S56:U56"/>
    <mergeCell ref="V56:X56"/>
    <mergeCell ref="Y56:AA56"/>
    <mergeCell ref="J54:L54"/>
    <mergeCell ref="M54:O54"/>
    <mergeCell ref="P54:R54"/>
    <mergeCell ref="S54:U54"/>
    <mergeCell ref="V54:X54"/>
    <mergeCell ref="Y54:AA54"/>
    <mergeCell ref="J55:L55"/>
    <mergeCell ref="M55:O55"/>
    <mergeCell ref="P55:R55"/>
    <mergeCell ref="S55:U55"/>
    <mergeCell ref="V55:X55"/>
    <mergeCell ref="Y55:AA55"/>
    <mergeCell ref="J53:L53"/>
    <mergeCell ref="M53:O53"/>
    <mergeCell ref="P53:R53"/>
    <mergeCell ref="S53:U53"/>
    <mergeCell ref="V53:X53"/>
    <mergeCell ref="Y53:AA53"/>
    <mergeCell ref="J51:L51"/>
    <mergeCell ref="M51:O51"/>
    <mergeCell ref="P51:R51"/>
    <mergeCell ref="S51:U51"/>
    <mergeCell ref="V51:X51"/>
    <mergeCell ref="Y51:AA51"/>
    <mergeCell ref="J52:L52"/>
    <mergeCell ref="M52:O52"/>
    <mergeCell ref="P52:R52"/>
    <mergeCell ref="S52:U52"/>
    <mergeCell ref="V52:X52"/>
    <mergeCell ref="Y52:AA52"/>
    <mergeCell ref="V49:X49"/>
    <mergeCell ref="Y49:AA49"/>
    <mergeCell ref="J48:L48"/>
    <mergeCell ref="M48:O48"/>
    <mergeCell ref="P48:R48"/>
    <mergeCell ref="S48:U48"/>
    <mergeCell ref="V48:X48"/>
    <mergeCell ref="Y48:AA48"/>
    <mergeCell ref="J47:L47"/>
    <mergeCell ref="M47:O47"/>
    <mergeCell ref="P47:R47"/>
    <mergeCell ref="S47:U47"/>
    <mergeCell ref="V47:X47"/>
    <mergeCell ref="Y47:AA47"/>
    <mergeCell ref="J49:L49"/>
    <mergeCell ref="M49:O49"/>
    <mergeCell ref="P49:R49"/>
    <mergeCell ref="S49:U49"/>
    <mergeCell ref="J46:L46"/>
    <mergeCell ref="M46:O46"/>
    <mergeCell ref="P46:R46"/>
    <mergeCell ref="S46:U46"/>
    <mergeCell ref="V46:X46"/>
    <mergeCell ref="Y46:AA46"/>
    <mergeCell ref="J45:L45"/>
    <mergeCell ref="M45:O45"/>
    <mergeCell ref="P45:R45"/>
    <mergeCell ref="S45:U45"/>
    <mergeCell ref="V45:X45"/>
    <mergeCell ref="Y45:AA45"/>
    <mergeCell ref="Y42:AA42"/>
    <mergeCell ref="J34:L34"/>
    <mergeCell ref="M34:O34"/>
    <mergeCell ref="P34:R34"/>
    <mergeCell ref="S34:U34"/>
    <mergeCell ref="V34:X34"/>
    <mergeCell ref="Y34:AA34"/>
    <mergeCell ref="J33:L33"/>
    <mergeCell ref="M33:O33"/>
    <mergeCell ref="P33:R33"/>
    <mergeCell ref="S33:U33"/>
    <mergeCell ref="V33:X33"/>
    <mergeCell ref="Y33:AA33"/>
    <mergeCell ref="J35:L35"/>
    <mergeCell ref="J36:L36"/>
    <mergeCell ref="J37:L37"/>
    <mergeCell ref="J38:L38"/>
    <mergeCell ref="J39:L39"/>
    <mergeCell ref="J40:L40"/>
    <mergeCell ref="J41:L41"/>
    <mergeCell ref="M35:O35"/>
    <mergeCell ref="M36:O36"/>
    <mergeCell ref="M37:O37"/>
    <mergeCell ref="M38:O38"/>
    <mergeCell ref="J32:L32"/>
    <mergeCell ref="M32:O32"/>
    <mergeCell ref="P32:R32"/>
    <mergeCell ref="S32:U32"/>
    <mergeCell ref="V32:X32"/>
    <mergeCell ref="Y32:AA32"/>
    <mergeCell ref="J31:L31"/>
    <mergeCell ref="M31:O31"/>
    <mergeCell ref="P31:R31"/>
    <mergeCell ref="S31:U31"/>
    <mergeCell ref="V31:X31"/>
    <mergeCell ref="Y31:AA31"/>
    <mergeCell ref="J30:L30"/>
    <mergeCell ref="M30:O30"/>
    <mergeCell ref="P30:R30"/>
    <mergeCell ref="S30:U30"/>
    <mergeCell ref="V30:X30"/>
    <mergeCell ref="Y30:AA30"/>
    <mergeCell ref="J29:L29"/>
    <mergeCell ref="M29:O29"/>
    <mergeCell ref="P29:R29"/>
    <mergeCell ref="S29:U29"/>
    <mergeCell ref="V29:X29"/>
    <mergeCell ref="Y29:AA29"/>
    <mergeCell ref="J28:L28"/>
    <mergeCell ref="M28:O28"/>
    <mergeCell ref="P28:R28"/>
    <mergeCell ref="S28:U28"/>
    <mergeCell ref="V28:X28"/>
    <mergeCell ref="Y28:AA28"/>
    <mergeCell ref="J27:L27"/>
    <mergeCell ref="M27:O27"/>
    <mergeCell ref="P27:R27"/>
    <mergeCell ref="S27:U27"/>
    <mergeCell ref="V27:X27"/>
    <mergeCell ref="Y27:AA27"/>
    <mergeCell ref="J26:L26"/>
    <mergeCell ref="M26:O26"/>
    <mergeCell ref="P26:R26"/>
    <mergeCell ref="S26:U26"/>
    <mergeCell ref="V26:X26"/>
    <mergeCell ref="Y26:AA26"/>
    <mergeCell ref="J25:L25"/>
    <mergeCell ref="M25:O25"/>
    <mergeCell ref="P25:R25"/>
    <mergeCell ref="S25:U25"/>
    <mergeCell ref="V25:X25"/>
    <mergeCell ref="Y25:AA25"/>
    <mergeCell ref="J24:L24"/>
    <mergeCell ref="M24:O24"/>
    <mergeCell ref="P24:R24"/>
    <mergeCell ref="S24:U24"/>
    <mergeCell ref="V24:X24"/>
    <mergeCell ref="Y24:AA24"/>
    <mergeCell ref="J23:L23"/>
    <mergeCell ref="M23:O23"/>
    <mergeCell ref="P23:R23"/>
    <mergeCell ref="S23:U23"/>
    <mergeCell ref="V23:X23"/>
    <mergeCell ref="Y23:AA23"/>
    <mergeCell ref="J22:L22"/>
    <mergeCell ref="M22:O22"/>
    <mergeCell ref="P22:R22"/>
    <mergeCell ref="S22:U22"/>
    <mergeCell ref="V22:X22"/>
    <mergeCell ref="Y22:AA22"/>
    <mergeCell ref="J21:L21"/>
    <mergeCell ref="M21:O21"/>
    <mergeCell ref="P21:R21"/>
    <mergeCell ref="S21:U21"/>
    <mergeCell ref="V21:X21"/>
    <mergeCell ref="Y21:AA21"/>
    <mergeCell ref="J20:L20"/>
    <mergeCell ref="M20:O20"/>
    <mergeCell ref="P20:R20"/>
    <mergeCell ref="S20:U20"/>
    <mergeCell ref="V20:X20"/>
    <mergeCell ref="Y20:AA20"/>
    <mergeCell ref="J19:L19"/>
    <mergeCell ref="M19:O19"/>
    <mergeCell ref="P19:R19"/>
    <mergeCell ref="S19:U19"/>
    <mergeCell ref="V19:X19"/>
    <mergeCell ref="Y19:AA19"/>
    <mergeCell ref="J18:L18"/>
    <mergeCell ref="M18:O18"/>
    <mergeCell ref="P18:R18"/>
    <mergeCell ref="S18:U18"/>
    <mergeCell ref="V18:X18"/>
    <mergeCell ref="Y18:AA18"/>
    <mergeCell ref="J17:L17"/>
    <mergeCell ref="M17:O17"/>
    <mergeCell ref="P17:R17"/>
    <mergeCell ref="S17:U17"/>
    <mergeCell ref="V17:X17"/>
    <mergeCell ref="Y17:AA17"/>
    <mergeCell ref="J16:L16"/>
    <mergeCell ref="M16:O16"/>
    <mergeCell ref="P16:R16"/>
    <mergeCell ref="S16:U16"/>
    <mergeCell ref="V16:X16"/>
    <mergeCell ref="Y16:AA16"/>
    <mergeCell ref="J15:L15"/>
    <mergeCell ref="M15:O15"/>
    <mergeCell ref="P15:R15"/>
    <mergeCell ref="S15:U15"/>
    <mergeCell ref="V15:X15"/>
    <mergeCell ref="Y15:AA15"/>
    <mergeCell ref="J14:L14"/>
    <mergeCell ref="M14:O14"/>
    <mergeCell ref="P14:R14"/>
    <mergeCell ref="S14:U14"/>
    <mergeCell ref="V14:X14"/>
    <mergeCell ref="Y14:AA14"/>
    <mergeCell ref="J13:L13"/>
    <mergeCell ref="M13:O13"/>
    <mergeCell ref="P13:R13"/>
    <mergeCell ref="S13:U13"/>
    <mergeCell ref="V13:X13"/>
    <mergeCell ref="Y13:AA13"/>
    <mergeCell ref="J8:L8"/>
    <mergeCell ref="M8:O8"/>
    <mergeCell ref="P8:R8"/>
    <mergeCell ref="S8:U8"/>
    <mergeCell ref="V8:X8"/>
    <mergeCell ref="Y8:AA8"/>
    <mergeCell ref="J12:L12"/>
    <mergeCell ref="M12:O12"/>
    <mergeCell ref="P12:R12"/>
    <mergeCell ref="S12:U12"/>
    <mergeCell ref="V12:X12"/>
    <mergeCell ref="Y12:AA12"/>
    <mergeCell ref="J11:L11"/>
    <mergeCell ref="M11:O11"/>
    <mergeCell ref="P11:R11"/>
    <mergeCell ref="S11:U11"/>
    <mergeCell ref="V11:X11"/>
    <mergeCell ref="Y11:AA11"/>
    <mergeCell ref="J10:L10"/>
    <mergeCell ref="M10:O10"/>
    <mergeCell ref="P10:R10"/>
    <mergeCell ref="S10:U10"/>
    <mergeCell ref="V10:X10"/>
    <mergeCell ref="Y10:AA10"/>
    <mergeCell ref="J9:L9"/>
    <mergeCell ref="M9:O9"/>
    <mergeCell ref="P9:R9"/>
    <mergeCell ref="S9:U9"/>
    <mergeCell ref="V9:X9"/>
    <mergeCell ref="Y9:AA9"/>
    <mergeCell ref="J1:L1"/>
    <mergeCell ref="M1:O1"/>
    <mergeCell ref="P1:R1"/>
    <mergeCell ref="S1:U1"/>
    <mergeCell ref="V1:X1"/>
    <mergeCell ref="Y1:AA1"/>
    <mergeCell ref="J5:L5"/>
    <mergeCell ref="M5:O5"/>
    <mergeCell ref="P5:R5"/>
    <mergeCell ref="S5:U5"/>
    <mergeCell ref="V5:X5"/>
    <mergeCell ref="Y5:AA5"/>
    <mergeCell ref="J3:L3"/>
    <mergeCell ref="M3:O3"/>
    <mergeCell ref="P3:R3"/>
    <mergeCell ref="S3:U3"/>
    <mergeCell ref="V3:X3"/>
    <mergeCell ref="Y3:AA3"/>
    <mergeCell ref="J4:L4"/>
    <mergeCell ref="M4:O4"/>
    <mergeCell ref="P4:R4"/>
    <mergeCell ref="S4:U4"/>
    <mergeCell ref="V4:X4"/>
    <mergeCell ref="Y4:AA4"/>
    <mergeCell ref="J7:L7"/>
    <mergeCell ref="M7:O7"/>
    <mergeCell ref="P7:R7"/>
    <mergeCell ref="S7:U7"/>
    <mergeCell ref="V7:X7"/>
    <mergeCell ref="Y7:AA7"/>
    <mergeCell ref="J6:L6"/>
    <mergeCell ref="M6:O6"/>
    <mergeCell ref="P6:R6"/>
    <mergeCell ref="S6:U6"/>
    <mergeCell ref="V6:X6"/>
    <mergeCell ref="Y6:AA6"/>
    <mergeCell ref="M39:O39"/>
    <mergeCell ref="M40:O40"/>
    <mergeCell ref="M41:O41"/>
    <mergeCell ref="P35:R35"/>
    <mergeCell ref="P36:R36"/>
    <mergeCell ref="P37:R37"/>
    <mergeCell ref="P38:R38"/>
    <mergeCell ref="P39:R39"/>
    <mergeCell ref="P40:R40"/>
    <mergeCell ref="P41:R41"/>
    <mergeCell ref="Y35:AA35"/>
    <mergeCell ref="Y36:AA36"/>
    <mergeCell ref="Y37:AA37"/>
    <mergeCell ref="Y38:AA38"/>
    <mergeCell ref="Y39:AA39"/>
    <mergeCell ref="Y40:AA40"/>
    <mergeCell ref="Y41:AA41"/>
    <mergeCell ref="S35:U35"/>
    <mergeCell ref="S36:U36"/>
    <mergeCell ref="S37:U37"/>
    <mergeCell ref="S38:U38"/>
    <mergeCell ref="S39:U39"/>
    <mergeCell ref="S40:U40"/>
    <mergeCell ref="S41:U41"/>
    <mergeCell ref="V35:X35"/>
    <mergeCell ref="V36:X36"/>
    <mergeCell ref="V37:X37"/>
    <mergeCell ref="V38:X38"/>
    <mergeCell ref="V39:X39"/>
    <mergeCell ref="V40:X40"/>
    <mergeCell ref="V41:X41"/>
  </mergeCells>
  <pageMargins left="0.7" right="0.7" top="0.78740157499999996" bottom="0.78740157499999996" header="0.3" footer="0.3"/>
  <pageSetup paperSize="9" orientation="portrait" horizontalDpi="30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9BFDA-FE49-4763-A4FA-DCDE15B77402}">
  <sheetPr>
    <tabColor theme="8" tint="0.79998168889431442"/>
  </sheetPr>
  <dimension ref="A1:AB156"/>
  <sheetViews>
    <sheetView workbookViewId="0">
      <pane ySplit="1" topLeftCell="A2" activePane="bottomLeft" state="frozen"/>
      <selection pane="bottomLeft" sqref="A1:C1"/>
    </sheetView>
  </sheetViews>
  <sheetFormatPr baseColWidth="10" defaultColWidth="11.42578125" defaultRowHeight="14.25" customHeight="1"/>
  <cols>
    <col min="1" max="1" width="20.7109375" style="5" bestFit="1" customWidth="1"/>
    <col min="2" max="2" width="31.7109375" style="5" bestFit="1" customWidth="1"/>
    <col min="3" max="3" width="7.85546875" style="5" customWidth="1"/>
    <col min="4" max="4" width="7.85546875" style="5" bestFit="1" customWidth="1"/>
    <col min="5" max="5" width="15.28515625" style="5" customWidth="1"/>
    <col min="6" max="6" width="20.28515625" style="5" customWidth="1"/>
    <col min="7" max="7" width="6" style="6" customWidth="1"/>
    <col min="8" max="8" width="15" style="5" bestFit="1" customWidth="1"/>
    <col min="9" max="9" width="1.5703125" style="5" customWidth="1"/>
    <col min="10" max="10" width="14.7109375" style="5" customWidth="1"/>
    <col min="11" max="11" width="18.7109375" style="5" customWidth="1"/>
    <col min="12" max="12" width="11.7109375" style="5" customWidth="1"/>
    <col min="13" max="13" width="14.7109375" style="5" customWidth="1"/>
    <col min="14" max="14" width="18.7109375" style="5" customWidth="1"/>
    <col min="15" max="15" width="11.7109375" style="5" customWidth="1"/>
    <col min="16" max="16" width="14.7109375" style="5" customWidth="1"/>
    <col min="17" max="17" width="18.7109375" style="5" customWidth="1"/>
    <col min="18" max="18" width="11.7109375" style="5" customWidth="1"/>
    <col min="19" max="19" width="14.7109375" style="5" customWidth="1"/>
    <col min="20" max="20" width="18.7109375" style="5" customWidth="1"/>
    <col min="21" max="21" width="11.7109375" style="5" customWidth="1"/>
    <col min="22" max="22" width="14.7109375" style="5" customWidth="1"/>
    <col min="23" max="23" width="18.7109375" style="5" customWidth="1"/>
    <col min="24" max="24" width="11.7109375" style="5" customWidth="1"/>
    <col min="25" max="25" width="14.7109375" style="5" customWidth="1"/>
    <col min="26" max="26" width="18.7109375" style="5" customWidth="1"/>
    <col min="27" max="27" width="11.7109375" style="5" customWidth="1"/>
    <col min="28" max="16384" width="11.42578125" style="5"/>
  </cols>
  <sheetData>
    <row r="1" spans="1:28" ht="14.25" customHeight="1">
      <c r="A1" s="1025" t="s">
        <v>220</v>
      </c>
      <c r="B1" s="1025"/>
      <c r="C1" s="1025"/>
      <c r="J1" s="1046" t="s">
        <v>46</v>
      </c>
      <c r="K1" s="1047"/>
      <c r="L1" s="1047"/>
      <c r="M1" s="1046" t="s">
        <v>498</v>
      </c>
      <c r="N1" s="1047"/>
      <c r="O1" s="1047"/>
      <c r="P1" s="1046" t="s">
        <v>499</v>
      </c>
      <c r="Q1" s="1047"/>
      <c r="R1" s="1047"/>
      <c r="S1" s="1046" t="s">
        <v>500</v>
      </c>
      <c r="T1" s="1047"/>
      <c r="U1" s="1047"/>
      <c r="V1" s="1046" t="s">
        <v>501</v>
      </c>
      <c r="W1" s="1047"/>
      <c r="X1" s="1047"/>
      <c r="Y1" s="1046" t="s">
        <v>502</v>
      </c>
      <c r="Z1" s="1047"/>
      <c r="AA1" s="1048"/>
      <c r="AB1" s="10"/>
    </row>
    <row r="2" spans="1:28" ht="8.25" customHeight="1">
      <c r="E2" s="50"/>
      <c r="F2" s="50"/>
      <c r="G2" s="53"/>
      <c r="H2" s="6"/>
      <c r="J2" s="1111"/>
      <c r="K2" s="975"/>
      <c r="L2" s="1112"/>
      <c r="M2" s="1111"/>
      <c r="N2" s="975"/>
      <c r="O2" s="975"/>
      <c r="P2" s="1111"/>
      <c r="Q2" s="975"/>
      <c r="R2" s="975"/>
      <c r="S2" s="1111"/>
      <c r="T2" s="975"/>
      <c r="U2" s="975"/>
      <c r="V2" s="1111"/>
      <c r="W2" s="975"/>
      <c r="X2" s="975"/>
      <c r="Y2" s="1111"/>
      <c r="Z2" s="975"/>
      <c r="AA2" s="1112"/>
      <c r="AB2" s="10"/>
    </row>
    <row r="3" spans="1:28" ht="14.25" customHeight="1">
      <c r="F3" s="420" t="s">
        <v>55</v>
      </c>
      <c r="G3" s="421"/>
      <c r="H3" s="889" t="s">
        <v>5</v>
      </c>
      <c r="I3" s="889"/>
      <c r="J3" s="1052">
        <f>IF(Tunneldaten!E12="","",Tunneldaten!E14)</f>
        <v>0</v>
      </c>
      <c r="K3" s="1053"/>
      <c r="L3" s="1053"/>
      <c r="M3" s="1052" t="str">
        <f>IF(Tunneldaten!F12="","",Tunneldaten!F14)</f>
        <v/>
      </c>
      <c r="N3" s="1053"/>
      <c r="O3" s="1053"/>
      <c r="P3" s="1052" t="str">
        <f>IF(Tunneldaten!G12="","",Tunneldaten!G14)</f>
        <v/>
      </c>
      <c r="Q3" s="1053"/>
      <c r="R3" s="1053"/>
      <c r="S3" s="1052" t="str">
        <f>IF(Tunneldaten!H12="","",Tunneldaten!H14)</f>
        <v/>
      </c>
      <c r="T3" s="1053"/>
      <c r="U3" s="1053"/>
      <c r="V3" s="1052" t="str">
        <f>IF(Tunneldaten!I12="","",Tunneldaten!I14)</f>
        <v/>
      </c>
      <c r="W3" s="1053"/>
      <c r="X3" s="1053"/>
      <c r="Y3" s="1052" t="str">
        <f>IF(Tunneldaten!J12="","",Tunneldaten!J14)</f>
        <v/>
      </c>
      <c r="Z3" s="1053"/>
      <c r="AA3" s="1054"/>
      <c r="AB3" s="10"/>
    </row>
    <row r="4" spans="1:28" ht="14.25" customHeight="1">
      <c r="F4" s="267" t="s">
        <v>503</v>
      </c>
      <c r="G4" s="268"/>
      <c r="H4" s="269" t="s">
        <v>5</v>
      </c>
      <c r="I4" s="269"/>
      <c r="J4" s="1055" t="str">
        <f>IF(J3="SM",Tunneldaten!$E$15,"")</f>
        <v/>
      </c>
      <c r="K4" s="1056"/>
      <c r="L4" s="1057"/>
      <c r="M4" s="1055" t="str">
        <f>IF(M3="SM",Tunneldaten!$F$15,"")</f>
        <v/>
      </c>
      <c r="N4" s="1056"/>
      <c r="O4" s="1057"/>
      <c r="P4" s="1055" t="str">
        <f>IF(P3="SM",Tunneldaten!$G$15,"")</f>
        <v/>
      </c>
      <c r="Q4" s="1056"/>
      <c r="R4" s="1057"/>
      <c r="S4" s="1055" t="str">
        <f>IF(S3="SM",Tunneldaten!$H$15,"")</f>
        <v/>
      </c>
      <c r="T4" s="1056"/>
      <c r="U4" s="1057"/>
      <c r="V4" s="1055" t="str">
        <f>IF(V3="SM",Tunneldaten!$I$15,"")</f>
        <v/>
      </c>
      <c r="W4" s="1056"/>
      <c r="X4" s="1057"/>
      <c r="Y4" s="1055" t="str">
        <f>IF(Y3="SM",Tunneldaten!$J$15,"")</f>
        <v/>
      </c>
      <c r="Z4" s="1056"/>
      <c r="AA4" s="1057"/>
      <c r="AB4" s="10"/>
    </row>
    <row r="5" spans="1:28" ht="14.25" customHeight="1">
      <c r="F5" s="422" t="s">
        <v>457</v>
      </c>
      <c r="G5" s="423"/>
      <c r="H5" s="142" t="s">
        <v>62</v>
      </c>
      <c r="I5" s="896"/>
      <c r="J5" s="1049" t="str">
        <f>IF(J$3&lt;&gt;$A$1,"",'Bau-Geometrie'!C25)</f>
        <v/>
      </c>
      <c r="K5" s="1050"/>
      <c r="L5" s="1050"/>
      <c r="M5" s="1049" t="str">
        <f>IF(M$3&lt;&gt;$A$1,"",'Bau-Geometrie'!D25)</f>
        <v/>
      </c>
      <c r="N5" s="1050"/>
      <c r="O5" s="1050"/>
      <c r="P5" s="1049" t="str">
        <f>IF(P$3&lt;&gt;$A$1,"",'Bau-Geometrie'!E25)</f>
        <v/>
      </c>
      <c r="Q5" s="1050"/>
      <c r="R5" s="1050"/>
      <c r="S5" s="1049" t="str">
        <f>IF(S$3&lt;&gt;$A$1,"",'Bau-Geometrie'!F25)</f>
        <v/>
      </c>
      <c r="T5" s="1050"/>
      <c r="U5" s="1050"/>
      <c r="V5" s="1049" t="str">
        <f>IF(V$3&lt;&gt;$A$1,"",'Bau-Geometrie'!G25)</f>
        <v/>
      </c>
      <c r="W5" s="1050"/>
      <c r="X5" s="1050"/>
      <c r="Y5" s="1049" t="str">
        <f>IF(Y$3&lt;&gt;$A$1,"",'Bau-Geometrie'!H25)</f>
        <v/>
      </c>
      <c r="Z5" s="1050"/>
      <c r="AA5" s="1051"/>
      <c r="AB5" s="10"/>
    </row>
    <row r="6" spans="1:28" ht="14.25" customHeight="1">
      <c r="E6" s="271"/>
      <c r="F6" s="424" t="s">
        <v>458</v>
      </c>
      <c r="G6" s="425"/>
      <c r="H6" s="139" t="s">
        <v>62</v>
      </c>
      <c r="I6" s="426"/>
      <c r="J6" s="1061" t="str">
        <f>IF(J$3&lt;&gt;$A$1,"",'Bau-Geometrie'!C26)</f>
        <v/>
      </c>
      <c r="K6" s="1062"/>
      <c r="L6" s="1062"/>
      <c r="M6" s="1061" t="str">
        <f>IF(M$3&lt;&gt;$A$1,"",'Bau-Geometrie'!D26)</f>
        <v/>
      </c>
      <c r="N6" s="1062"/>
      <c r="O6" s="1062"/>
      <c r="P6" s="1061" t="str">
        <f>IF(P$3&lt;&gt;$A$1,"",'Bau-Geometrie'!E26)</f>
        <v/>
      </c>
      <c r="Q6" s="1062"/>
      <c r="R6" s="1062"/>
      <c r="S6" s="1061" t="str">
        <f>IF(S$3&lt;&gt;$A$1,"",'Bau-Geometrie'!F26)</f>
        <v/>
      </c>
      <c r="T6" s="1062"/>
      <c r="U6" s="1062"/>
      <c r="V6" s="1061" t="str">
        <f>IF(V$3&lt;&gt;$A$1,"",'Bau-Geometrie'!G26)</f>
        <v/>
      </c>
      <c r="W6" s="1062"/>
      <c r="X6" s="1062"/>
      <c r="Y6" s="1061" t="str">
        <f>IF(Y$3&lt;&gt;$A$1,"",'Bau-Geometrie'!H26)</f>
        <v/>
      </c>
      <c r="Z6" s="1062"/>
      <c r="AA6" s="1063"/>
      <c r="AB6" s="10"/>
    </row>
    <row r="7" spans="1:28" ht="14.25" customHeight="1">
      <c r="F7" s="427" t="s">
        <v>459</v>
      </c>
      <c r="G7" s="428"/>
      <c r="H7" s="131" t="s">
        <v>62</v>
      </c>
      <c r="I7" s="429"/>
      <c r="J7" s="1058" t="str">
        <f>IF(J$3&lt;&gt;$A$1,"",'Bau-Geometrie'!C27)</f>
        <v/>
      </c>
      <c r="K7" s="1059"/>
      <c r="L7" s="1059"/>
      <c r="M7" s="1058" t="str">
        <f>IF(M$3&lt;&gt;$A$1,"",'Bau-Geometrie'!D27)</f>
        <v/>
      </c>
      <c r="N7" s="1059"/>
      <c r="O7" s="1059"/>
      <c r="P7" s="1058" t="str">
        <f>IF(P$3&lt;&gt;$A$1,"",'Bau-Geometrie'!E27)</f>
        <v/>
      </c>
      <c r="Q7" s="1059"/>
      <c r="R7" s="1059"/>
      <c r="S7" s="1058" t="str">
        <f>IF(S$3&lt;&gt;$A$1,"",'Bau-Geometrie'!F27)</f>
        <v/>
      </c>
      <c r="T7" s="1059"/>
      <c r="U7" s="1059"/>
      <c r="V7" s="1058" t="str">
        <f>IF(V$3&lt;&gt;$A$1,"",'Bau-Geometrie'!G27)</f>
        <v/>
      </c>
      <c r="W7" s="1059"/>
      <c r="X7" s="1059"/>
      <c r="Y7" s="1058" t="str">
        <f>IF(Y$3&lt;&gt;$A$1,"",'Bau-Geometrie'!H27)</f>
        <v/>
      </c>
      <c r="Z7" s="1059"/>
      <c r="AA7" s="1060"/>
      <c r="AB7" s="10"/>
    </row>
    <row r="8" spans="1:28" ht="14.25" customHeight="1">
      <c r="F8" s="430" t="s">
        <v>460</v>
      </c>
      <c r="G8" s="431"/>
      <c r="H8" s="132" t="s">
        <v>461</v>
      </c>
      <c r="I8" s="432"/>
      <c r="J8" s="1067" t="str">
        <f>IF(J$3&lt;&gt;$A$1,"",'Bau-Geometrie'!C28)</f>
        <v/>
      </c>
      <c r="K8" s="1068"/>
      <c r="L8" s="1068"/>
      <c r="M8" s="1067" t="str">
        <f>IF(M$3&lt;&gt;$A$1,"",'Bau-Geometrie'!D28)</f>
        <v/>
      </c>
      <c r="N8" s="1068"/>
      <c r="O8" s="1068"/>
      <c r="P8" s="1067" t="str">
        <f>IF(P$3&lt;&gt;$A$1,"",'Bau-Geometrie'!E28)</f>
        <v/>
      </c>
      <c r="Q8" s="1068"/>
      <c r="R8" s="1068"/>
      <c r="S8" s="1067" t="str">
        <f>IF(S$3&lt;&gt;$A$1,"",'Bau-Geometrie'!F28)</f>
        <v/>
      </c>
      <c r="T8" s="1068"/>
      <c r="U8" s="1068"/>
      <c r="V8" s="1067" t="str">
        <f>IF(V$3&lt;&gt;$A$1,"",'Bau-Geometrie'!G28)</f>
        <v/>
      </c>
      <c r="W8" s="1068"/>
      <c r="X8" s="1068"/>
      <c r="Y8" s="1067" t="str">
        <f>IF(Y$3&lt;&gt;$A$1,"",'Bau-Geometrie'!H28)</f>
        <v/>
      </c>
      <c r="Z8" s="1068"/>
      <c r="AA8" s="1069"/>
      <c r="AB8" s="10"/>
    </row>
    <row r="9" spans="1:28" ht="14.25" customHeight="1">
      <c r="D9" s="385"/>
      <c r="E9" s="385"/>
      <c r="F9" s="433" t="s">
        <v>53</v>
      </c>
      <c r="G9" s="434"/>
      <c r="H9" s="140" t="s">
        <v>54</v>
      </c>
      <c r="I9" s="434"/>
      <c r="J9" s="1064" t="str">
        <f>IF(J$3&lt;&gt;$A$1,"",'Bau-Geometrie'!C17)</f>
        <v/>
      </c>
      <c r="K9" s="1065"/>
      <c r="L9" s="1065"/>
      <c r="M9" s="1064" t="str">
        <f>IF(M$3&lt;&gt;$A$1,"",'Bau-Geometrie'!D17)</f>
        <v/>
      </c>
      <c r="N9" s="1065"/>
      <c r="O9" s="1065"/>
      <c r="P9" s="1064" t="str">
        <f>IF(P$3&lt;&gt;$A$1,"",'Bau-Geometrie'!E17)</f>
        <v/>
      </c>
      <c r="Q9" s="1065"/>
      <c r="R9" s="1065"/>
      <c r="S9" s="1064" t="str">
        <f>IF(S$3&lt;&gt;$A$1,"",'Bau-Geometrie'!F17)</f>
        <v/>
      </c>
      <c r="T9" s="1065"/>
      <c r="U9" s="1065"/>
      <c r="V9" s="1064" t="str">
        <f>IF(V$3&lt;&gt;$A$1,"",'Bau-Geometrie'!G17)</f>
        <v/>
      </c>
      <c r="W9" s="1065"/>
      <c r="X9" s="1065"/>
      <c r="Y9" s="1064" t="str">
        <f>IF(Y$3&lt;&gt;$A$1,"",'Bau-Geometrie'!H17)</f>
        <v/>
      </c>
      <c r="Z9" s="1065"/>
      <c r="AA9" s="1066"/>
      <c r="AB9" s="10"/>
    </row>
    <row r="10" spans="1:28" ht="14.25" customHeight="1">
      <c r="D10" s="385"/>
      <c r="E10" s="385"/>
      <c r="F10" s="427" t="s">
        <v>57</v>
      </c>
      <c r="G10" s="429"/>
      <c r="H10" s="131" t="s">
        <v>54</v>
      </c>
      <c r="I10" s="429"/>
      <c r="J10" s="1070" t="str">
        <f>IF(J$3&lt;&gt;$A$1,"",'Bau-Geometrie'!C18)</f>
        <v/>
      </c>
      <c r="K10" s="1071"/>
      <c r="L10" s="1071"/>
      <c r="M10" s="1070" t="str">
        <f>IF(M$3&lt;&gt;$A$1,"",'Bau-Geometrie'!D18)</f>
        <v/>
      </c>
      <c r="N10" s="1071"/>
      <c r="O10" s="1071"/>
      <c r="P10" s="1070" t="str">
        <f>IF(P$3&lt;&gt;$A$1,"",'Bau-Geometrie'!E18)</f>
        <v/>
      </c>
      <c r="Q10" s="1071"/>
      <c r="R10" s="1071"/>
      <c r="S10" s="1070" t="str">
        <f>IF(S$3&lt;&gt;$A$1,"",'Bau-Geometrie'!F18)</f>
        <v/>
      </c>
      <c r="T10" s="1071"/>
      <c r="U10" s="1071"/>
      <c r="V10" s="1070" t="str">
        <f>IF(V$3&lt;&gt;$A$1,"",'Bau-Geometrie'!G18)</f>
        <v/>
      </c>
      <c r="W10" s="1071"/>
      <c r="X10" s="1071"/>
      <c r="Y10" s="1070" t="str">
        <f>IF(Y$3&lt;&gt;$A$1,"",'Bau-Geometrie'!H18)</f>
        <v/>
      </c>
      <c r="Z10" s="1071"/>
      <c r="AA10" s="1072"/>
      <c r="AB10" s="10"/>
    </row>
    <row r="11" spans="1:28" ht="14.25" customHeight="1">
      <c r="D11" s="271"/>
      <c r="F11" s="427" t="s">
        <v>60</v>
      </c>
      <c r="G11" s="429"/>
      <c r="H11" s="131" t="s">
        <v>54</v>
      </c>
      <c r="I11" s="435"/>
      <c r="J11" s="1070" t="str">
        <f>IF(J$3&lt;&gt;$A$1,"",'Bau-Geometrie'!C19)</f>
        <v/>
      </c>
      <c r="K11" s="1071"/>
      <c r="L11" s="1071"/>
      <c r="M11" s="1070" t="str">
        <f>IF(M$3&lt;&gt;$A$1,"",'Bau-Geometrie'!D19)</f>
        <v/>
      </c>
      <c r="N11" s="1071"/>
      <c r="O11" s="1071"/>
      <c r="P11" s="1070" t="str">
        <f>IF(P$3&lt;&gt;$A$1,"",'Bau-Geometrie'!E19)</f>
        <v/>
      </c>
      <c r="Q11" s="1071"/>
      <c r="R11" s="1071"/>
      <c r="S11" s="1070" t="str">
        <f>IF(S$3&lt;&gt;$A$1,"",'Bau-Geometrie'!F19)</f>
        <v/>
      </c>
      <c r="T11" s="1071"/>
      <c r="U11" s="1071"/>
      <c r="V11" s="1070" t="str">
        <f>IF(V$3&lt;&gt;$A$1,"",'Bau-Geometrie'!G19)</f>
        <v/>
      </c>
      <c r="W11" s="1071"/>
      <c r="X11" s="1071"/>
      <c r="Y11" s="1070" t="str">
        <f>IF(Y$3&lt;&gt;$A$1,"",'Bau-Geometrie'!H19)</f>
        <v/>
      </c>
      <c r="Z11" s="1071"/>
      <c r="AA11" s="1072"/>
      <c r="AB11" s="10"/>
    </row>
    <row r="12" spans="1:28" ht="14.25" customHeight="1">
      <c r="D12" s="271"/>
      <c r="E12" s="271"/>
      <c r="F12" s="427" t="s">
        <v>63</v>
      </c>
      <c r="G12" s="435"/>
      <c r="H12" s="131" t="s">
        <v>54</v>
      </c>
      <c r="I12" s="435"/>
      <c r="J12" s="1070" t="str">
        <f>IF(J$3&lt;&gt;$A$1,"",'Bau-Geometrie'!C20)</f>
        <v/>
      </c>
      <c r="K12" s="1071"/>
      <c r="L12" s="1071"/>
      <c r="M12" s="1070" t="str">
        <f>IF(M$3&lt;&gt;$A$1,"",'Bau-Geometrie'!D20)</f>
        <v/>
      </c>
      <c r="N12" s="1071"/>
      <c r="O12" s="1071"/>
      <c r="P12" s="1070" t="str">
        <f>IF(P$3&lt;&gt;$A$1,"",'Bau-Geometrie'!E20)</f>
        <v/>
      </c>
      <c r="Q12" s="1071"/>
      <c r="R12" s="1071"/>
      <c r="S12" s="1070" t="str">
        <f>IF(S$3&lt;&gt;$A$1,"",'Bau-Geometrie'!F20)</f>
        <v/>
      </c>
      <c r="T12" s="1071"/>
      <c r="U12" s="1071"/>
      <c r="V12" s="1070" t="str">
        <f>IF(V$3&lt;&gt;$A$1,"",'Bau-Geometrie'!G20)</f>
        <v/>
      </c>
      <c r="W12" s="1071"/>
      <c r="X12" s="1071"/>
      <c r="Y12" s="1070" t="str">
        <f>IF(Y$3&lt;&gt;$A$1,"",'Bau-Geometrie'!H20)</f>
        <v/>
      </c>
      <c r="Z12" s="1071"/>
      <c r="AA12" s="1072"/>
      <c r="AB12" s="10"/>
    </row>
    <row r="13" spans="1:28" ht="14.25" customHeight="1">
      <c r="F13" s="427" t="s">
        <v>65</v>
      </c>
      <c r="G13" s="435"/>
      <c r="H13" s="131" t="s">
        <v>54</v>
      </c>
      <c r="I13" s="435"/>
      <c r="J13" s="1070" t="str">
        <f>IF(J$3&lt;&gt;$A$1,"",'Bau-Geometrie'!C21)</f>
        <v/>
      </c>
      <c r="K13" s="1071"/>
      <c r="L13" s="1071"/>
      <c r="M13" s="1070" t="str">
        <f>IF(M$3&lt;&gt;$A$1,"",'Bau-Geometrie'!D21)</f>
        <v/>
      </c>
      <c r="N13" s="1071"/>
      <c r="O13" s="1071"/>
      <c r="P13" s="1070" t="str">
        <f>IF(P$3&lt;&gt;$A$1,"",'Bau-Geometrie'!E21)</f>
        <v/>
      </c>
      <c r="Q13" s="1071"/>
      <c r="R13" s="1071"/>
      <c r="S13" s="1070" t="str">
        <f>IF(S$3&lt;&gt;$A$1,"",'Bau-Geometrie'!F21)</f>
        <v/>
      </c>
      <c r="T13" s="1071"/>
      <c r="U13" s="1071"/>
      <c r="V13" s="1070" t="str">
        <f>IF(V$3&lt;&gt;$A$1,"",'Bau-Geometrie'!G21)</f>
        <v/>
      </c>
      <c r="W13" s="1071"/>
      <c r="X13" s="1071"/>
      <c r="Y13" s="1070" t="str">
        <f>IF(Y$3&lt;&gt;$A$1,"",'Bau-Geometrie'!H21)</f>
        <v/>
      </c>
      <c r="Z13" s="1071"/>
      <c r="AA13" s="1072"/>
      <c r="AB13" s="10"/>
    </row>
    <row r="14" spans="1:28" ht="14.25" customHeight="1">
      <c r="A14" s="147"/>
      <c r="B14" s="147"/>
      <c r="C14" s="147"/>
      <c r="D14" s="147"/>
      <c r="E14" s="147"/>
      <c r="F14" s="148" t="s">
        <v>67</v>
      </c>
      <c r="G14" s="149"/>
      <c r="H14" s="150" t="s">
        <v>54</v>
      </c>
      <c r="I14" s="149"/>
      <c r="J14" s="1076" t="str">
        <f>IF(J$3&lt;&gt;$A$1,"",'Bau-Geometrie'!C22)</f>
        <v/>
      </c>
      <c r="K14" s="1077"/>
      <c r="L14" s="1077"/>
      <c r="M14" s="1076" t="str">
        <f>IF(M$3&lt;&gt;$A$1,"",'Bau-Geometrie'!D22)</f>
        <v/>
      </c>
      <c r="N14" s="1077"/>
      <c r="O14" s="1077"/>
      <c r="P14" s="1076" t="str">
        <f>IF(P$3&lt;&gt;$A$1,"",'Bau-Geometrie'!E22)</f>
        <v/>
      </c>
      <c r="Q14" s="1077"/>
      <c r="R14" s="1077"/>
      <c r="S14" s="1076" t="str">
        <f>IF(S$3&lt;&gt;$A$1,"",'Bau-Geometrie'!F22)</f>
        <v/>
      </c>
      <c r="T14" s="1077"/>
      <c r="U14" s="1077"/>
      <c r="V14" s="1076" t="str">
        <f>IF(V$3&lt;&gt;$A$1,"",'Bau-Geometrie'!G22)</f>
        <v/>
      </c>
      <c r="W14" s="1077"/>
      <c r="X14" s="1077"/>
      <c r="Y14" s="1076" t="str">
        <f>IF(Y$3&lt;&gt;$A$1,"",'Bau-Geometrie'!H22)</f>
        <v/>
      </c>
      <c r="Z14" s="1077"/>
      <c r="AA14" s="1078"/>
      <c r="AB14" s="10"/>
    </row>
    <row r="15" spans="1:28" ht="14.25" customHeight="1">
      <c r="A15" s="147"/>
      <c r="B15" s="147"/>
      <c r="C15" s="147"/>
      <c r="D15" s="155"/>
      <c r="E15" s="155"/>
      <c r="F15" s="152" t="s">
        <v>78</v>
      </c>
      <c r="G15" s="154"/>
      <c r="H15" s="153" t="s">
        <v>25</v>
      </c>
      <c r="I15" s="166"/>
      <c r="J15" s="1073" t="str">
        <f>IF(J$3&lt;&gt;$A$1,"",'Bau-Geometrie'!C29)</f>
        <v/>
      </c>
      <c r="K15" s="1074"/>
      <c r="L15" s="1074"/>
      <c r="M15" s="1073" t="str">
        <f>IF(M$3&lt;&gt;$A$1,"",'Bau-Geometrie'!D29)</f>
        <v/>
      </c>
      <c r="N15" s="1074"/>
      <c r="O15" s="1074"/>
      <c r="P15" s="1073" t="str">
        <f>IF(P$3&lt;&gt;$A$1,"",'Bau-Geometrie'!E29)</f>
        <v/>
      </c>
      <c r="Q15" s="1074"/>
      <c r="R15" s="1074"/>
      <c r="S15" s="1073" t="str">
        <f>IF(S$3&lt;&gt;$A$1,"",'Bau-Geometrie'!F29)</f>
        <v/>
      </c>
      <c r="T15" s="1074"/>
      <c r="U15" s="1074"/>
      <c r="V15" s="1073" t="str">
        <f>IF(V$3&lt;&gt;$A$1,"",'Bau-Geometrie'!G29)</f>
        <v/>
      </c>
      <c r="W15" s="1074"/>
      <c r="X15" s="1074"/>
      <c r="Y15" s="1073" t="str">
        <f>IF(Y$3&lt;&gt;$A$1,"",'Bau-Geometrie'!H29)</f>
        <v/>
      </c>
      <c r="Z15" s="1074"/>
      <c r="AA15" s="1075"/>
      <c r="AB15" s="10"/>
    </row>
    <row r="16" spans="1:28" ht="14.25" customHeight="1">
      <c r="A16" s="147"/>
      <c r="B16" s="147"/>
      <c r="C16" s="147"/>
      <c r="D16" s="155"/>
      <c r="E16" s="155"/>
      <c r="F16" s="156" t="s">
        <v>462</v>
      </c>
      <c r="G16" s="167"/>
      <c r="H16" s="157" t="s">
        <v>62</v>
      </c>
      <c r="I16" s="167"/>
      <c r="J16" s="1079" t="str">
        <f>IF(J$3&lt;&gt;$A$1,"",'Bau-Geometrie'!C30)</f>
        <v/>
      </c>
      <c r="K16" s="1080"/>
      <c r="L16" s="1080"/>
      <c r="M16" s="1079" t="str">
        <f>IF(M$3&lt;&gt;$A$1,"",'Bau-Geometrie'!D30)</f>
        <v/>
      </c>
      <c r="N16" s="1080"/>
      <c r="O16" s="1080"/>
      <c r="P16" s="1079" t="str">
        <f>IF(P$3&lt;&gt;$A$1,"",'Bau-Geometrie'!E30)</f>
        <v/>
      </c>
      <c r="Q16" s="1080"/>
      <c r="R16" s="1080"/>
      <c r="S16" s="1079" t="str">
        <f>IF(S$3&lt;&gt;$A$1,"",'Bau-Geometrie'!F30)</f>
        <v/>
      </c>
      <c r="T16" s="1080"/>
      <c r="U16" s="1080"/>
      <c r="V16" s="1079" t="str">
        <f>IF(V$3&lt;&gt;$A$1,"",'Bau-Geometrie'!G30)</f>
        <v/>
      </c>
      <c r="W16" s="1080"/>
      <c r="X16" s="1080"/>
      <c r="Y16" s="1079" t="str">
        <f>IF(Y$3&lt;&gt;$A$1,"",'Bau-Geometrie'!H30)</f>
        <v/>
      </c>
      <c r="Z16" s="1080"/>
      <c r="AA16" s="1081"/>
      <c r="AB16" s="10"/>
    </row>
    <row r="17" spans="1:28" ht="14.25" customHeight="1">
      <c r="A17" s="147"/>
      <c r="B17" s="147"/>
      <c r="C17" s="147"/>
      <c r="D17" s="155"/>
      <c r="E17" s="155"/>
      <c r="F17" s="160" t="s">
        <v>459</v>
      </c>
      <c r="G17" s="167"/>
      <c r="H17" s="157" t="s">
        <v>62</v>
      </c>
      <c r="I17" s="167"/>
      <c r="J17" s="1079" t="str">
        <f>IF(J$3&lt;&gt;$A$1,"",'Bau-Geometrie'!C31)</f>
        <v/>
      </c>
      <c r="K17" s="1080"/>
      <c r="L17" s="1080"/>
      <c r="M17" s="1079" t="str">
        <f>IF(M$3&lt;&gt;$A$1,"",'Bau-Geometrie'!D31)</f>
        <v/>
      </c>
      <c r="N17" s="1080"/>
      <c r="O17" s="1080"/>
      <c r="P17" s="1079" t="str">
        <f>IF(P$3&lt;&gt;$A$1,"",'Bau-Geometrie'!E31)</f>
        <v/>
      </c>
      <c r="Q17" s="1080"/>
      <c r="R17" s="1080"/>
      <c r="S17" s="1079" t="str">
        <f>IF(S$3&lt;&gt;$A$1,"",'Bau-Geometrie'!F31)</f>
        <v/>
      </c>
      <c r="T17" s="1080"/>
      <c r="U17" s="1080"/>
      <c r="V17" s="1079" t="str">
        <f>IF(V$3&lt;&gt;$A$1,"",'Bau-Geometrie'!G31)</f>
        <v/>
      </c>
      <c r="W17" s="1080"/>
      <c r="X17" s="1080"/>
      <c r="Y17" s="1079" t="str">
        <f>IF(Y$3&lt;&gt;$A$1,"",'Bau-Geometrie'!H31)</f>
        <v/>
      </c>
      <c r="Z17" s="1080"/>
      <c r="AA17" s="1081"/>
      <c r="AB17" s="10"/>
    </row>
    <row r="18" spans="1:28" ht="14.25" customHeight="1">
      <c r="A18" s="147"/>
      <c r="B18" s="147"/>
      <c r="C18" s="159"/>
      <c r="D18" s="147"/>
      <c r="E18" s="159"/>
      <c r="F18" s="161" t="s">
        <v>460</v>
      </c>
      <c r="G18" s="168"/>
      <c r="H18" s="162" t="s">
        <v>461</v>
      </c>
      <c r="I18" s="169"/>
      <c r="J18" s="1085" t="str">
        <f>IF(J$3&lt;&gt;$A$1,"",'Bau-Geometrie'!C32)</f>
        <v/>
      </c>
      <c r="K18" s="1086"/>
      <c r="L18" s="1086"/>
      <c r="M18" s="1085" t="str">
        <f>IF(M$3&lt;&gt;$A$1,"",'Bau-Geometrie'!D32)</f>
        <v/>
      </c>
      <c r="N18" s="1086"/>
      <c r="O18" s="1086"/>
      <c r="P18" s="1085" t="str">
        <f>IF(P$3&lt;&gt;$A$1,"",'Bau-Geometrie'!E32)</f>
        <v/>
      </c>
      <c r="Q18" s="1086"/>
      <c r="R18" s="1086"/>
      <c r="S18" s="1085" t="str">
        <f>IF(S$3&lt;&gt;$A$1,"",'Bau-Geometrie'!F32)</f>
        <v/>
      </c>
      <c r="T18" s="1086"/>
      <c r="U18" s="1086"/>
      <c r="V18" s="1085" t="str">
        <f>IF(V$3&lt;&gt;$A$1,"",'Bau-Geometrie'!G32)</f>
        <v/>
      </c>
      <c r="W18" s="1086"/>
      <c r="X18" s="1086"/>
      <c r="Y18" s="1085" t="str">
        <f>IF(Y$3&lt;&gt;$A$1,"",'Bau-Geometrie'!H32)</f>
        <v/>
      </c>
      <c r="Z18" s="1086"/>
      <c r="AA18" s="1087"/>
      <c r="AB18" s="10"/>
    </row>
    <row r="19" spans="1:28" ht="14.25" customHeight="1">
      <c r="C19" s="271"/>
      <c r="E19" s="271"/>
      <c r="F19" s="433" t="s">
        <v>80</v>
      </c>
      <c r="G19" s="436"/>
      <c r="H19" s="140" t="s">
        <v>25</v>
      </c>
      <c r="I19" s="434"/>
      <c r="J19" s="1064" t="str">
        <f>IF(J$3&lt;&gt;$A$1,"",'Bau-Geometrie'!C33)</f>
        <v/>
      </c>
      <c r="K19" s="1065"/>
      <c r="L19" s="1065"/>
      <c r="M19" s="1064" t="str">
        <f>IF(M$3&lt;&gt;$A$1,"",'Bau-Geometrie'!D33)</f>
        <v/>
      </c>
      <c r="N19" s="1065"/>
      <c r="O19" s="1065"/>
      <c r="P19" s="1064" t="str">
        <f>IF(P$3&lt;&gt;$A$1,"",'Bau-Geometrie'!E33)</f>
        <v/>
      </c>
      <c r="Q19" s="1065"/>
      <c r="R19" s="1065"/>
      <c r="S19" s="1064" t="str">
        <f>IF(S$3&lt;&gt;$A$1,"",'Bau-Geometrie'!F33)</f>
        <v/>
      </c>
      <c r="T19" s="1065"/>
      <c r="U19" s="1065"/>
      <c r="V19" s="1082" t="str">
        <f>IF(V$3&lt;&gt;$A$1,"",'Bau-Geometrie'!G33)</f>
        <v/>
      </c>
      <c r="W19" s="1083"/>
      <c r="X19" s="1083"/>
      <c r="Y19" s="1082" t="str">
        <f>IF(Y$3&lt;&gt;$A$1,"",'Bau-Geometrie'!H33)</f>
        <v/>
      </c>
      <c r="Z19" s="1083"/>
      <c r="AA19" s="1084"/>
      <c r="AB19" s="10"/>
    </row>
    <row r="20" spans="1:28" ht="14.25" customHeight="1">
      <c r="C20" s="271"/>
      <c r="D20" s="271"/>
      <c r="E20" s="271"/>
      <c r="F20" s="437" t="s">
        <v>462</v>
      </c>
      <c r="G20" s="893"/>
      <c r="H20" s="131" t="s">
        <v>62</v>
      </c>
      <c r="I20" s="429"/>
      <c r="J20" s="1058" t="str">
        <f>IF(J$3&lt;&gt;$A$1,"",'Bau-Geometrie'!C34)</f>
        <v/>
      </c>
      <c r="K20" s="1059"/>
      <c r="L20" s="1059"/>
      <c r="M20" s="1058" t="str">
        <f>IF(M$3&lt;&gt;$A$1,"",'Bau-Geometrie'!D34)</f>
        <v/>
      </c>
      <c r="N20" s="1059"/>
      <c r="O20" s="1059"/>
      <c r="P20" s="1058" t="str">
        <f>IF(P$3&lt;&gt;$A$1,"",'Bau-Geometrie'!E34)</f>
        <v/>
      </c>
      <c r="Q20" s="1059"/>
      <c r="R20" s="1059"/>
      <c r="S20" s="1058" t="str">
        <f>IF(S$3&lt;&gt;$A$1,"",'Bau-Geometrie'!F34)</f>
        <v/>
      </c>
      <c r="T20" s="1059"/>
      <c r="U20" s="1059"/>
      <c r="V20" s="1058" t="str">
        <f>IF(V$3&lt;&gt;$A$1,"",'Bau-Geometrie'!G34)</f>
        <v/>
      </c>
      <c r="W20" s="1059"/>
      <c r="X20" s="1059"/>
      <c r="Y20" s="1058" t="str">
        <f>IF(Y$3&lt;&gt;$A$1,"",'Bau-Geometrie'!H34)</f>
        <v/>
      </c>
      <c r="Z20" s="1059"/>
      <c r="AA20" s="1060"/>
      <c r="AB20" s="10"/>
    </row>
    <row r="21" spans="1:28" ht="14.25" customHeight="1">
      <c r="F21" s="427" t="s">
        <v>459</v>
      </c>
      <c r="G21" s="893"/>
      <c r="H21" s="131" t="s">
        <v>62</v>
      </c>
      <c r="I21" s="429"/>
      <c r="J21" s="1058" t="str">
        <f>IF(J$3&lt;&gt;$A$1,"",'Bau-Geometrie'!C35)</f>
        <v/>
      </c>
      <c r="K21" s="1059"/>
      <c r="L21" s="1059"/>
      <c r="M21" s="1058" t="str">
        <f>IF(M$3&lt;&gt;$A$1,"",'Bau-Geometrie'!D35)</f>
        <v/>
      </c>
      <c r="N21" s="1059"/>
      <c r="O21" s="1059"/>
      <c r="P21" s="1058" t="str">
        <f>IF(P$3&lt;&gt;$A$1,"",'Bau-Geometrie'!E35)</f>
        <v/>
      </c>
      <c r="Q21" s="1059"/>
      <c r="R21" s="1059"/>
      <c r="S21" s="1058" t="str">
        <f>IF(S$3&lt;&gt;$A$1,"",'Bau-Geometrie'!F35)</f>
        <v/>
      </c>
      <c r="T21" s="1059"/>
      <c r="U21" s="1059"/>
      <c r="V21" s="1058" t="str">
        <f>IF(V$3&lt;&gt;$A$1,"",'Bau-Geometrie'!G35)</f>
        <v/>
      </c>
      <c r="W21" s="1059"/>
      <c r="X21" s="1059"/>
      <c r="Y21" s="1058" t="str">
        <f>IF(Y$3&lt;&gt;$A$1,"",'Bau-Geometrie'!H35)</f>
        <v/>
      </c>
      <c r="Z21" s="1059"/>
      <c r="AA21" s="1060"/>
      <c r="AB21" s="10"/>
    </row>
    <row r="22" spans="1:28" ht="14.25" customHeight="1">
      <c r="F22" s="438" t="s">
        <v>460</v>
      </c>
      <c r="G22" s="894"/>
      <c r="H22" s="136" t="s">
        <v>461</v>
      </c>
      <c r="I22" s="439"/>
      <c r="J22" s="1090" t="str">
        <f>IF(J$3&lt;&gt;$A$1,"",'Bau-Geometrie'!C36)</f>
        <v/>
      </c>
      <c r="K22" s="1091"/>
      <c r="L22" s="1091"/>
      <c r="M22" s="1090" t="str">
        <f>IF(M$3&lt;&gt;$A$1,"",'Bau-Geometrie'!D36)</f>
        <v/>
      </c>
      <c r="N22" s="1091"/>
      <c r="O22" s="1091"/>
      <c r="P22" s="1090" t="str">
        <f>IF(P$3&lt;&gt;$A$1,"",'Bau-Geometrie'!E36)</f>
        <v/>
      </c>
      <c r="Q22" s="1091"/>
      <c r="R22" s="1091"/>
      <c r="S22" s="1090" t="str">
        <f>IF(S$3&lt;&gt;$A$1,"",'Bau-Geometrie'!F36)</f>
        <v/>
      </c>
      <c r="T22" s="1091"/>
      <c r="U22" s="1091"/>
      <c r="V22" s="1090" t="str">
        <f>IF(V$3&lt;&gt;$A$1,"",'Bau-Geometrie'!G36)</f>
        <v/>
      </c>
      <c r="W22" s="1091"/>
      <c r="X22" s="1091"/>
      <c r="Y22" s="1090" t="str">
        <f>IF(Y$3&lt;&gt;$A$1,"",'Bau-Geometrie'!H36)</f>
        <v/>
      </c>
      <c r="Z22" s="1091"/>
      <c r="AA22" s="1092"/>
      <c r="AB22" s="10"/>
    </row>
    <row r="23" spans="1:28" ht="14.25" customHeight="1">
      <c r="A23" s="147"/>
      <c r="B23" s="147"/>
      <c r="C23" s="147"/>
      <c r="D23" s="147"/>
      <c r="E23" s="147"/>
      <c r="F23" s="152" t="s">
        <v>82</v>
      </c>
      <c r="G23" s="153"/>
      <c r="H23" s="153" t="s">
        <v>25</v>
      </c>
      <c r="I23" s="154"/>
      <c r="J23" s="1088" t="str">
        <f>IF(J$3&lt;&gt;$A$1,"",'Bau-Geometrie'!C37)</f>
        <v/>
      </c>
      <c r="K23" s="1089"/>
      <c r="L23" s="1089"/>
      <c r="M23" s="1088" t="str">
        <f>IF(M$3&lt;&gt;$A$1,"",'Bau-Geometrie'!D37)</f>
        <v/>
      </c>
      <c r="N23" s="1089"/>
      <c r="O23" s="1089"/>
      <c r="P23" s="1088" t="str">
        <f>IF(P$3&lt;&gt;$A$1,"",'Bau-Geometrie'!E37)</f>
        <v/>
      </c>
      <c r="Q23" s="1089"/>
      <c r="R23" s="1089"/>
      <c r="S23" s="1088" t="str">
        <f>IF(S$3&lt;&gt;$A$1,"",'Bau-Geometrie'!F37)</f>
        <v/>
      </c>
      <c r="T23" s="1089"/>
      <c r="U23" s="1089"/>
      <c r="V23" s="1073" t="str">
        <f>IF(V$3&lt;&gt;$A$1,"",'Bau-Geometrie'!G37)</f>
        <v/>
      </c>
      <c r="W23" s="1074"/>
      <c r="X23" s="1074"/>
      <c r="Y23" s="1073" t="str">
        <f>IF(Y$3&lt;&gt;$A$1,"",'Bau-Geometrie'!H37)</f>
        <v/>
      </c>
      <c r="Z23" s="1074"/>
      <c r="AA23" s="1075"/>
      <c r="AB23" s="10"/>
    </row>
    <row r="24" spans="1:28" ht="14.25" customHeight="1">
      <c r="A24" s="147"/>
      <c r="B24" s="147"/>
      <c r="C24" s="155"/>
      <c r="D24" s="155"/>
      <c r="E24" s="147"/>
      <c r="F24" s="156" t="s">
        <v>462</v>
      </c>
      <c r="G24" s="157"/>
      <c r="H24" s="157" t="s">
        <v>62</v>
      </c>
      <c r="I24" s="158"/>
      <c r="J24" s="1079" t="str">
        <f>IF(J$3&lt;&gt;$A$1,"",'Bau-Geometrie'!C38)</f>
        <v/>
      </c>
      <c r="K24" s="1080"/>
      <c r="L24" s="1080"/>
      <c r="M24" s="1079" t="str">
        <f>IF(M$3&lt;&gt;$A$1,"",'Bau-Geometrie'!D38)</f>
        <v/>
      </c>
      <c r="N24" s="1080"/>
      <c r="O24" s="1080"/>
      <c r="P24" s="1079" t="str">
        <f>IF(P$3&lt;&gt;$A$1,"",'Bau-Geometrie'!E38)</f>
        <v/>
      </c>
      <c r="Q24" s="1080"/>
      <c r="R24" s="1080"/>
      <c r="S24" s="1079" t="str">
        <f>IF(S$3&lt;&gt;$A$1,"",'Bau-Geometrie'!F38)</f>
        <v/>
      </c>
      <c r="T24" s="1080"/>
      <c r="U24" s="1080"/>
      <c r="V24" s="1079" t="str">
        <f>IF(V$3&lt;&gt;$A$1,"",'Bau-Geometrie'!G38)</f>
        <v/>
      </c>
      <c r="W24" s="1080"/>
      <c r="X24" s="1080"/>
      <c r="Y24" s="1079" t="str">
        <f>IF(Y$3&lt;&gt;$A$1,"",'Bau-Geometrie'!H38)</f>
        <v/>
      </c>
      <c r="Z24" s="1080"/>
      <c r="AA24" s="1081"/>
      <c r="AB24" s="10"/>
    </row>
    <row r="25" spans="1:28" ht="14.25" customHeight="1">
      <c r="A25" s="147"/>
      <c r="B25" s="147"/>
      <c r="C25" s="155"/>
      <c r="D25" s="155"/>
      <c r="E25" s="159"/>
      <c r="F25" s="160" t="s">
        <v>459</v>
      </c>
      <c r="G25" s="157"/>
      <c r="H25" s="157" t="s">
        <v>62</v>
      </c>
      <c r="I25" s="158"/>
      <c r="J25" s="1079" t="str">
        <f>IF(J$3&lt;&gt;$A$1,"",'Bau-Geometrie'!C39)</f>
        <v/>
      </c>
      <c r="K25" s="1080"/>
      <c r="L25" s="1080"/>
      <c r="M25" s="1079" t="str">
        <f>IF(M$3&lt;&gt;$A$1,"",'Bau-Geometrie'!D39)</f>
        <v/>
      </c>
      <c r="N25" s="1080"/>
      <c r="O25" s="1080"/>
      <c r="P25" s="1079" t="str">
        <f>IF(P$3&lt;&gt;$A$1,"",'Bau-Geometrie'!E39)</f>
        <v/>
      </c>
      <c r="Q25" s="1080"/>
      <c r="R25" s="1080"/>
      <c r="S25" s="1079" t="str">
        <f>IF(S$3&lt;&gt;$A$1,"",'Bau-Geometrie'!F39)</f>
        <v/>
      </c>
      <c r="T25" s="1080"/>
      <c r="U25" s="1080"/>
      <c r="V25" s="1079" t="str">
        <f>IF(V$3&lt;&gt;$A$1,"",'Bau-Geometrie'!G39)</f>
        <v/>
      </c>
      <c r="W25" s="1080"/>
      <c r="X25" s="1080"/>
      <c r="Y25" s="1079" t="str">
        <f>IF(Y$3&lt;&gt;$A$1,"",'Bau-Geometrie'!H39)</f>
        <v/>
      </c>
      <c r="Z25" s="1080"/>
      <c r="AA25" s="1081"/>
      <c r="AB25" s="10"/>
    </row>
    <row r="26" spans="1:28" ht="14.25" customHeight="1">
      <c r="A26" s="147"/>
      <c r="B26" s="147"/>
      <c r="C26" s="155"/>
      <c r="D26" s="155"/>
      <c r="E26" s="155"/>
      <c r="F26" s="161" t="s">
        <v>460</v>
      </c>
      <c r="G26" s="162"/>
      <c r="H26" s="162" t="s">
        <v>504</v>
      </c>
      <c r="I26" s="163"/>
      <c r="J26" s="1085" t="str">
        <f>IF(J$3&lt;&gt;$A$1,"",'Bau-Geometrie'!C40)</f>
        <v/>
      </c>
      <c r="K26" s="1086"/>
      <c r="L26" s="1086"/>
      <c r="M26" s="1085" t="str">
        <f>IF(M$3&lt;&gt;$A$1,"",'Bau-Geometrie'!D40)</f>
        <v/>
      </c>
      <c r="N26" s="1086"/>
      <c r="O26" s="1086"/>
      <c r="P26" s="1085" t="str">
        <f>IF(P$3&lt;&gt;$A$1,"",'Bau-Geometrie'!E40)</f>
        <v/>
      </c>
      <c r="Q26" s="1086"/>
      <c r="R26" s="1086"/>
      <c r="S26" s="1085" t="str">
        <f>IF(S$3&lt;&gt;$A$1,"",'Bau-Geometrie'!F40)</f>
        <v/>
      </c>
      <c r="T26" s="1086"/>
      <c r="U26" s="1086"/>
      <c r="V26" s="1085" t="str">
        <f>IF(V$3&lt;&gt;$A$1,"",'Bau-Geometrie'!G40)</f>
        <v/>
      </c>
      <c r="W26" s="1086"/>
      <c r="X26" s="1086"/>
      <c r="Y26" s="1085" t="str">
        <f>IF(Y$3&lt;&gt;$A$1,"",'Bau-Geometrie'!H40)</f>
        <v/>
      </c>
      <c r="Z26" s="1086"/>
      <c r="AA26" s="1087"/>
      <c r="AB26" s="10"/>
    </row>
    <row r="27" spans="1:28" ht="14.25" customHeight="1">
      <c r="A27" s="147"/>
      <c r="B27" s="147"/>
      <c r="C27" s="155"/>
      <c r="D27" s="155"/>
      <c r="E27" s="155"/>
      <c r="F27" s="164" t="s">
        <v>463</v>
      </c>
      <c r="G27" s="895"/>
      <c r="H27" s="890" t="s">
        <v>505</v>
      </c>
      <c r="I27" s="165"/>
      <c r="J27" s="1093" t="str">
        <f>IF(J$3&lt;&gt;$A$1,"",'Bau-Geometrie'!C41)</f>
        <v/>
      </c>
      <c r="K27" s="1094"/>
      <c r="L27" s="1094"/>
      <c r="M27" s="1093" t="str">
        <f>IF(M$3&lt;&gt;$A$1,"",'Bau-Geometrie'!D41)</f>
        <v/>
      </c>
      <c r="N27" s="1094"/>
      <c r="O27" s="1094"/>
      <c r="P27" s="1093" t="str">
        <f>IF(P$3&lt;&gt;$A$1,"",'Bau-Geometrie'!E41)</f>
        <v/>
      </c>
      <c r="Q27" s="1094"/>
      <c r="R27" s="1094"/>
      <c r="S27" s="1093" t="str">
        <f>IF(S$3&lt;&gt;$A$1,"",'Bau-Geometrie'!F41)</f>
        <v/>
      </c>
      <c r="T27" s="1094"/>
      <c r="U27" s="1094"/>
      <c r="V27" s="1093" t="str">
        <f>IF(V$3&lt;&gt;$A$1,"",'Bau-Geometrie'!G41)</f>
        <v/>
      </c>
      <c r="W27" s="1094"/>
      <c r="X27" s="1094"/>
      <c r="Y27" s="1093" t="str">
        <f>IF(Y$3&lt;&gt;$A$1,"",'Bau-Geometrie'!H41)</f>
        <v/>
      </c>
      <c r="Z27" s="1094"/>
      <c r="AA27" s="1095"/>
      <c r="AB27" s="10"/>
    </row>
    <row r="28" spans="1:28" ht="14.25" customHeight="1">
      <c r="C28" s="385"/>
      <c r="D28" s="385"/>
      <c r="E28" s="385"/>
      <c r="F28" s="433" t="s">
        <v>85</v>
      </c>
      <c r="G28" s="892"/>
      <c r="H28" s="140" t="s">
        <v>25</v>
      </c>
      <c r="I28" s="436"/>
      <c r="J28" s="1064" t="str">
        <f>IF(J$3&lt;&gt;$A$1,"",'Bau-Geometrie'!C42)</f>
        <v/>
      </c>
      <c r="K28" s="1065"/>
      <c r="L28" s="1066"/>
      <c r="M28" s="1064" t="str">
        <f>IF(M$3&lt;&gt;$A$1,"",'Bau-Geometrie'!D42)</f>
        <v/>
      </c>
      <c r="N28" s="1065"/>
      <c r="O28" s="1066"/>
      <c r="P28" s="1064" t="str">
        <f>IF(P$3&lt;&gt;$A$1,"",'Bau-Geometrie'!E42)</f>
        <v/>
      </c>
      <c r="Q28" s="1065"/>
      <c r="R28" s="1066"/>
      <c r="S28" s="1064" t="str">
        <f>IF(S$3&lt;&gt;$A$1,"",'Bau-Geometrie'!F42)</f>
        <v/>
      </c>
      <c r="T28" s="1065"/>
      <c r="U28" s="1066"/>
      <c r="V28" s="1082" t="str">
        <f>IF(V$3&lt;&gt;$A$1,"",'Bau-Geometrie'!G42)</f>
        <v/>
      </c>
      <c r="W28" s="1083"/>
      <c r="X28" s="1084"/>
      <c r="Y28" s="1082" t="str">
        <f>IF(Y$3&lt;&gt;$A$1,"",'Bau-Geometrie'!H42)</f>
        <v/>
      </c>
      <c r="Z28" s="1083"/>
      <c r="AA28" s="1084"/>
      <c r="AB28" s="10"/>
    </row>
    <row r="29" spans="1:28" ht="14.25" customHeight="1">
      <c r="C29" s="385"/>
      <c r="D29" s="385"/>
      <c r="E29" s="385"/>
      <c r="F29" s="437" t="s">
        <v>462</v>
      </c>
      <c r="G29" s="893"/>
      <c r="H29" s="131" t="s">
        <v>62</v>
      </c>
      <c r="I29" s="428"/>
      <c r="J29" s="1058" t="str">
        <f>IF(J$3&lt;&gt;$A$1,"",'Bau-Geometrie'!C43)</f>
        <v/>
      </c>
      <c r="K29" s="1059"/>
      <c r="L29" s="1060"/>
      <c r="M29" s="1058" t="str">
        <f>IF(M$3&lt;&gt;$A$1,"",'Bau-Geometrie'!D43)</f>
        <v/>
      </c>
      <c r="N29" s="1059"/>
      <c r="O29" s="1060"/>
      <c r="P29" s="1058" t="str">
        <f>IF(P$3&lt;&gt;$A$1,"",'Bau-Geometrie'!E43)</f>
        <v/>
      </c>
      <c r="Q29" s="1059"/>
      <c r="R29" s="1060"/>
      <c r="S29" s="1058" t="str">
        <f>IF(S$3&lt;&gt;$A$1,"",'Bau-Geometrie'!F43)</f>
        <v/>
      </c>
      <c r="T29" s="1059"/>
      <c r="U29" s="1060"/>
      <c r="V29" s="1058" t="str">
        <f>IF(V$3&lt;&gt;$A$1,"",'Bau-Geometrie'!G43)</f>
        <v/>
      </c>
      <c r="W29" s="1059"/>
      <c r="X29" s="1060"/>
      <c r="Y29" s="1058" t="str">
        <f>IF(Y$3&lt;&gt;$A$1,"",'Bau-Geometrie'!H43)</f>
        <v/>
      </c>
      <c r="Z29" s="1059"/>
      <c r="AA29" s="1060"/>
      <c r="AB29" s="10"/>
    </row>
    <row r="30" spans="1:28" ht="14.25" customHeight="1">
      <c r="C30" s="385"/>
      <c r="D30" s="385"/>
      <c r="E30" s="385"/>
      <c r="F30" s="427" t="s">
        <v>459</v>
      </c>
      <c r="G30" s="893"/>
      <c r="H30" s="131" t="s">
        <v>62</v>
      </c>
      <c r="I30" s="428"/>
      <c r="J30" s="1058" t="str">
        <f>IF(J$3&lt;&gt;$A$1,"",'Bau-Geometrie'!C44)</f>
        <v/>
      </c>
      <c r="K30" s="1059"/>
      <c r="L30" s="1060"/>
      <c r="M30" s="1058" t="str">
        <f>IF(M$3&lt;&gt;$A$1,"",'Bau-Geometrie'!D44)</f>
        <v/>
      </c>
      <c r="N30" s="1059"/>
      <c r="O30" s="1060"/>
      <c r="P30" s="1058" t="str">
        <f>IF(P$3&lt;&gt;$A$1,"",'Bau-Geometrie'!E44)</f>
        <v/>
      </c>
      <c r="Q30" s="1059"/>
      <c r="R30" s="1060"/>
      <c r="S30" s="1058" t="str">
        <f>IF(S$3&lt;&gt;$A$1,"",'Bau-Geometrie'!F44)</f>
        <v/>
      </c>
      <c r="T30" s="1059"/>
      <c r="U30" s="1060"/>
      <c r="V30" s="1058" t="str">
        <f>IF(V$3&lt;&gt;$A$1,"",'Bau-Geometrie'!G44)</f>
        <v/>
      </c>
      <c r="W30" s="1059"/>
      <c r="X30" s="1060"/>
      <c r="Y30" s="1058" t="str">
        <f>IF(Y$3&lt;&gt;$A$1,"",'Bau-Geometrie'!H44)</f>
        <v/>
      </c>
      <c r="Z30" s="1059"/>
      <c r="AA30" s="1060"/>
      <c r="AB30" s="10"/>
    </row>
    <row r="31" spans="1:28" ht="14.25" customHeight="1">
      <c r="C31" s="385"/>
      <c r="D31" s="385"/>
      <c r="E31" s="385"/>
      <c r="F31" s="438" t="s">
        <v>460</v>
      </c>
      <c r="G31" s="894"/>
      <c r="H31" s="136" t="s">
        <v>461</v>
      </c>
      <c r="I31" s="440"/>
      <c r="J31" s="1090" t="str">
        <f>IF(J$3&lt;&gt;$A$1,"",'Bau-Geometrie'!C45)</f>
        <v/>
      </c>
      <c r="K31" s="1091"/>
      <c r="L31" s="1092"/>
      <c r="M31" s="1090" t="str">
        <f>IF(M$3&lt;&gt;$A$1,"",'Bau-Geometrie'!D45)</f>
        <v/>
      </c>
      <c r="N31" s="1091"/>
      <c r="O31" s="1092"/>
      <c r="P31" s="1090" t="str">
        <f>IF(P$3&lt;&gt;$A$1,"",'Bau-Geometrie'!E45)</f>
        <v/>
      </c>
      <c r="Q31" s="1091"/>
      <c r="R31" s="1092"/>
      <c r="S31" s="1090" t="str">
        <f>IF(S$3&lt;&gt;$A$1,"",'Bau-Geometrie'!F45)</f>
        <v/>
      </c>
      <c r="T31" s="1091"/>
      <c r="U31" s="1092"/>
      <c r="V31" s="1090" t="str">
        <f>IF(V$3&lt;&gt;$A$1,"",'Bau-Geometrie'!G45)</f>
        <v/>
      </c>
      <c r="W31" s="1091"/>
      <c r="X31" s="1092"/>
      <c r="Y31" s="1090" t="str">
        <f>IF(Y$3&lt;&gt;$A$1,"",'Bau-Geometrie'!H45)</f>
        <v/>
      </c>
      <c r="Z31" s="1091"/>
      <c r="AA31" s="1092"/>
      <c r="AB31" s="10"/>
    </row>
    <row r="32" spans="1:28" ht="14.25" customHeight="1">
      <c r="C32" s="385"/>
      <c r="D32" s="385"/>
      <c r="E32" s="385"/>
      <c r="F32" s="441" t="s">
        <v>88</v>
      </c>
      <c r="G32" s="442"/>
      <c r="H32" s="141" t="s">
        <v>5</v>
      </c>
      <c r="I32" s="443"/>
      <c r="J32" s="1181" t="str">
        <f>IF(J$3&lt;&gt;$A$1,"",'Bau-Geometrie'!C46)</f>
        <v/>
      </c>
      <c r="K32" s="1182"/>
      <c r="L32" s="1183"/>
      <c r="M32" s="1181" t="str">
        <f>IF(M$3&lt;&gt;$A$1,"",'Bau-Geometrie'!D46)</f>
        <v/>
      </c>
      <c r="N32" s="1182"/>
      <c r="O32" s="1183"/>
      <c r="P32" s="1181" t="str">
        <f>IF(P$3&lt;&gt;$A$1,"",'Bau-Geometrie'!E46)</f>
        <v/>
      </c>
      <c r="Q32" s="1182"/>
      <c r="R32" s="1183"/>
      <c r="S32" s="1181" t="str">
        <f>IF(S$3&lt;&gt;$A$1,"",'Bau-Geometrie'!F46)</f>
        <v/>
      </c>
      <c r="T32" s="1182"/>
      <c r="U32" s="1183"/>
      <c r="V32" s="1181" t="str">
        <f>IF(V$3&lt;&gt;$A$1,"",'Bau-Geometrie'!G46)</f>
        <v/>
      </c>
      <c r="W32" s="1182"/>
      <c r="X32" s="1183"/>
      <c r="Y32" s="1181" t="str">
        <f>IF(Y$3&lt;&gt;$A$1,"",'Bau-Geometrie'!H46)</f>
        <v/>
      </c>
      <c r="Z32" s="1182"/>
      <c r="AA32" s="1183"/>
      <c r="AB32" s="10"/>
    </row>
    <row r="33" spans="1:28" ht="14.25" customHeight="1">
      <c r="C33" s="385"/>
      <c r="D33" s="385"/>
      <c r="E33" s="385"/>
      <c r="F33" s="433" t="s">
        <v>506</v>
      </c>
      <c r="G33" s="444"/>
      <c r="H33" s="140" t="s">
        <v>461</v>
      </c>
      <c r="I33" s="436"/>
      <c r="J33" s="1082" t="str">
        <f>IF(J$3&lt;&gt;$A$1,"",'Bau-Geometrie'!C47)</f>
        <v/>
      </c>
      <c r="K33" s="1083"/>
      <c r="L33" s="1084"/>
      <c r="M33" s="1082" t="str">
        <f>IF(M$3&lt;&gt;$A$1,"",'Bau-Geometrie'!D47)</f>
        <v/>
      </c>
      <c r="N33" s="1083"/>
      <c r="O33" s="1084"/>
      <c r="P33" s="1082" t="str">
        <f>IF(P$3&lt;&gt;$A$1,"",'Bau-Geometrie'!E47)</f>
        <v/>
      </c>
      <c r="Q33" s="1083"/>
      <c r="R33" s="1084"/>
      <c r="S33" s="1082" t="str">
        <f>IF(S$3&lt;&gt;$A$1,"",'Bau-Geometrie'!F47)</f>
        <v/>
      </c>
      <c r="T33" s="1083"/>
      <c r="U33" s="1084"/>
      <c r="V33" s="1082" t="str">
        <f>IF(V$3&lt;&gt;$A$1,"",'Bau-Geometrie'!G47)</f>
        <v/>
      </c>
      <c r="W33" s="1083"/>
      <c r="X33" s="1084"/>
      <c r="Y33" s="1082" t="str">
        <f>IF(Y$3&lt;&gt;$A$1,"",'Bau-Geometrie'!H47)</f>
        <v/>
      </c>
      <c r="Z33" s="1083"/>
      <c r="AA33" s="1084"/>
      <c r="AB33" s="10"/>
    </row>
    <row r="34" spans="1:28" ht="14.25" customHeight="1">
      <c r="E34" s="50"/>
      <c r="F34" s="877" t="s">
        <v>507</v>
      </c>
      <c r="G34" s="135"/>
      <c r="H34" s="136" t="s">
        <v>461</v>
      </c>
      <c r="I34" s="439"/>
      <c r="J34" s="1090" t="str">
        <f>IF(J$3&lt;&gt;$A$1,"",'Bau-Geometrie'!C48)</f>
        <v/>
      </c>
      <c r="K34" s="1091"/>
      <c r="L34" s="1092"/>
      <c r="M34" s="1090" t="str">
        <f>IF(M$3&lt;&gt;$A$1,"",'Bau-Geometrie'!D48)</f>
        <v/>
      </c>
      <c r="N34" s="1091"/>
      <c r="O34" s="1092"/>
      <c r="P34" s="1090" t="str">
        <f>IF(P$3&lt;&gt;$A$1,"",'Bau-Geometrie'!E48)</f>
        <v/>
      </c>
      <c r="Q34" s="1091"/>
      <c r="R34" s="1092"/>
      <c r="S34" s="1090" t="str">
        <f>IF(S$3&lt;&gt;$A$1,"",'Bau-Geometrie'!F48)</f>
        <v/>
      </c>
      <c r="T34" s="1091"/>
      <c r="U34" s="1092"/>
      <c r="V34" s="1090" t="str">
        <f>IF(V$3&lt;&gt;$A$1,"",'Bau-Geometrie'!G48)</f>
        <v/>
      </c>
      <c r="W34" s="1091"/>
      <c r="X34" s="1092"/>
      <c r="Y34" s="1090" t="str">
        <f>IF(Y$3&lt;&gt;$A$1,"",'Bau-Geometrie'!H48)</f>
        <v/>
      </c>
      <c r="Z34" s="1091"/>
      <c r="AA34" s="1092"/>
      <c r="AB34" s="10"/>
    </row>
    <row r="35" spans="1:28" ht="14.25" customHeight="1">
      <c r="F35" s="175" t="s">
        <v>52</v>
      </c>
      <c r="G35" s="550"/>
      <c r="H35" s="898" t="s">
        <v>5</v>
      </c>
      <c r="I35" s="551"/>
      <c r="J35" s="1099" t="str">
        <f>IF(J$3&lt;&gt;$A$1,"",Tunneldaten!E13)</f>
        <v/>
      </c>
      <c r="K35" s="1100"/>
      <c r="L35" s="1101"/>
      <c r="M35" s="1099" t="str">
        <f>IF(M$3&lt;&gt;$A$1,"",Tunneldaten!F13)</f>
        <v/>
      </c>
      <c r="N35" s="1100"/>
      <c r="O35" s="1101"/>
      <c r="P35" s="1099" t="str">
        <f>IF(P$3&lt;&gt;$A$1,"",Tunneldaten!G13)</f>
        <v/>
      </c>
      <c r="Q35" s="1100"/>
      <c r="R35" s="1101"/>
      <c r="S35" s="1099" t="str">
        <f>IF(S$3&lt;&gt;$A$1,"",Tunneldaten!H13)</f>
        <v/>
      </c>
      <c r="T35" s="1100"/>
      <c r="U35" s="1101"/>
      <c r="V35" s="1099" t="str">
        <f>IF(V$3&lt;&gt;$A$1,"",Tunneldaten!I13)</f>
        <v/>
      </c>
      <c r="W35" s="1100"/>
      <c r="X35" s="1101"/>
      <c r="Y35" s="1099" t="str">
        <f>IF(Y$3&lt;&gt;$A$1,"",Tunneldaten!J13)</f>
        <v/>
      </c>
      <c r="Z35" s="1100"/>
      <c r="AA35" s="1101"/>
      <c r="AB35" s="10"/>
    </row>
    <row r="36" spans="1:28" ht="14.25" customHeight="1">
      <c r="F36" s="177" t="s">
        <v>508</v>
      </c>
      <c r="G36" s="549"/>
      <c r="H36" s="903" t="s">
        <v>54</v>
      </c>
      <c r="I36" s="426"/>
      <c r="J36" s="1043" t="str">
        <f>IF(J$3&lt;&gt;$A$1,"",IF(J$35=1,Tunneldaten!$E$57,IF(J$35=2,Tunneldaten!$F$57,IF(J$35=3,Tunneldaten!$G$57,Tunneldaten!$H$57))))</f>
        <v/>
      </c>
      <c r="K36" s="1044"/>
      <c r="L36" s="1045"/>
      <c r="M36" s="1043" t="str">
        <f>IF(M$3&lt;&gt;$A$1,"",IF(M$35=1,Tunneldaten!$E$57,IF(M$35=2,Tunneldaten!$F$57,IF(M$35=3,Tunneldaten!$G$57,Tunneldaten!$H$57))))</f>
        <v/>
      </c>
      <c r="N36" s="1044"/>
      <c r="O36" s="1045"/>
      <c r="P36" s="1043" t="str">
        <f>IF(P$3&lt;&gt;$A$1,"",IF(P$35=1,Tunneldaten!$E$57,IF(P$35=2,Tunneldaten!$F$57,IF(P$35=3,Tunneldaten!$G$57,Tunneldaten!$H$57))))</f>
        <v/>
      </c>
      <c r="Q36" s="1044"/>
      <c r="R36" s="1045"/>
      <c r="S36" s="1043" t="str">
        <f>IF(S$3&lt;&gt;$A$1,"",IF(S$35=1,Tunneldaten!$E$57,IF(S$35=2,Tunneldaten!$F$57,IF(S$35=3,Tunneldaten!$G$57,Tunneldaten!$H$57))))</f>
        <v/>
      </c>
      <c r="T36" s="1044"/>
      <c r="U36" s="1045"/>
      <c r="V36" s="1043" t="str">
        <f>IF(V$3&lt;&gt;$A$1,"",IF(V$35=1,Tunneldaten!$E$57,IF(V$35=2,Tunneldaten!$F$57,IF(V$35=3,Tunneldaten!$G$57,Tunneldaten!$H$57))))</f>
        <v/>
      </c>
      <c r="W36" s="1044"/>
      <c r="X36" s="1045"/>
      <c r="Y36" s="1043" t="str">
        <f>IF(Y$3&lt;&gt;$A$1,"",IF(Y$35=1,Tunneldaten!$E$57,IF(Y$35=2,Tunneldaten!$F$57,IF(Y$35=3,Tunneldaten!$G$57,Tunneldaten!$H$57))))</f>
        <v/>
      </c>
      <c r="Z36" s="1044"/>
      <c r="AA36" s="1045"/>
      <c r="AB36" s="10"/>
    </row>
    <row r="37" spans="1:28" ht="14.25" customHeight="1">
      <c r="F37" s="180" t="s">
        <v>509</v>
      </c>
      <c r="G37" s="546"/>
      <c r="H37" s="547" t="s">
        <v>54</v>
      </c>
      <c r="I37" s="429"/>
      <c r="J37" s="1043" t="str">
        <f>IF(J$3&lt;&gt;$A$1,"",IF(J$35=1,Tunneldaten!$E$58,IF(J$35=2,Tunneldaten!$F$58,IF(J$35=3,Tunneldaten!$G$58,Tunneldaten!$H$58))))</f>
        <v/>
      </c>
      <c r="K37" s="1044"/>
      <c r="L37" s="1045"/>
      <c r="M37" s="1043" t="str">
        <f>IF(M$3&lt;&gt;$A$1,"",IF(M$35=1,Tunneldaten!$E$58,IF(M$35=2,Tunneldaten!$F$58,IF(M$35=3,Tunneldaten!$G$58,Tunneldaten!$H$58))))</f>
        <v/>
      </c>
      <c r="N37" s="1044"/>
      <c r="O37" s="1045"/>
      <c r="P37" s="1043" t="str">
        <f>IF(P$3&lt;&gt;$A$1,"",IF(P$35=1,Tunneldaten!$E$58,IF(P$35=2,Tunneldaten!$F$58,IF(P$35=3,Tunneldaten!$G$58,Tunneldaten!$H$58))))</f>
        <v/>
      </c>
      <c r="Q37" s="1044"/>
      <c r="R37" s="1045"/>
      <c r="S37" s="1043" t="str">
        <f>IF(S$3&lt;&gt;$A$1,"",IF(S$35=1,Tunneldaten!$E$58,IF(S$35=2,Tunneldaten!$F$58,IF(S$35=3,Tunneldaten!$G$58,Tunneldaten!$H$58))))</f>
        <v/>
      </c>
      <c r="T37" s="1044"/>
      <c r="U37" s="1045"/>
      <c r="V37" s="1043" t="str">
        <f>IF(V$3&lt;&gt;$A$1,"",IF(V$35=1,Tunneldaten!$E$58,IF(V$35=2,Tunneldaten!$F$58,IF(V$35=3,Tunneldaten!$G$58,Tunneldaten!$H$58))))</f>
        <v/>
      </c>
      <c r="W37" s="1044"/>
      <c r="X37" s="1045"/>
      <c r="Y37" s="1043" t="str">
        <f>IF(Y$3&lt;&gt;$A$1,"",IF(Y$35=1,Tunneldaten!$E$58,IF(Y$35=2,Tunneldaten!$F$58,IF(Y$35=3,Tunneldaten!$G$58,Tunneldaten!$H$58))))</f>
        <v/>
      </c>
      <c r="Z37" s="1044"/>
      <c r="AA37" s="1045"/>
      <c r="AB37" s="10"/>
    </row>
    <row r="38" spans="1:28" ht="14.25" customHeight="1">
      <c r="F38" s="180" t="s">
        <v>510</v>
      </c>
      <c r="G38" s="546"/>
      <c r="H38" s="547" t="s">
        <v>54</v>
      </c>
      <c r="I38" s="429"/>
      <c r="J38" s="1043" t="str">
        <f>IF(J$3&lt;&gt;$A$1,"",IF(J$35=1,Tunneldaten!$E$59,IF(J$35=2,Tunneldaten!$F$59,IF(J$35=3,Tunneldaten!$G$59,Tunneldaten!$H$59))))</f>
        <v/>
      </c>
      <c r="K38" s="1044"/>
      <c r="L38" s="1045"/>
      <c r="M38" s="1043" t="str">
        <f>IF(M$3&lt;&gt;$A$1,"",IF(M$35=1,Tunneldaten!$E$59,IF(M$35=2,Tunneldaten!$F$59,IF(M$35=3,Tunneldaten!$G$59,Tunneldaten!$H$59))))</f>
        <v/>
      </c>
      <c r="N38" s="1044"/>
      <c r="O38" s="1045"/>
      <c r="P38" s="1043" t="str">
        <f>IF(P$3&lt;&gt;$A$1,"",IF(P$35=1,Tunneldaten!$E$59,IF(P$35=2,Tunneldaten!$F$59,IF(P$35=3,Tunneldaten!$G$59,Tunneldaten!$H$59))))</f>
        <v/>
      </c>
      <c r="Q38" s="1044"/>
      <c r="R38" s="1045"/>
      <c r="S38" s="1043" t="str">
        <f>IF(S$3&lt;&gt;$A$1,"",IF(S$35=1,Tunneldaten!$E$59,IF(S$35=2,Tunneldaten!$F$59,IF(S$35=3,Tunneldaten!$G$59,Tunneldaten!$H$59))))</f>
        <v/>
      </c>
      <c r="T38" s="1044"/>
      <c r="U38" s="1045"/>
      <c r="V38" s="1043" t="str">
        <f>IF(V$3&lt;&gt;$A$1,"",IF(V$35=1,Tunneldaten!$E$59,IF(V$35=2,Tunneldaten!$F$59,IF(V$35=3,Tunneldaten!$G$59,Tunneldaten!$H$59))))</f>
        <v/>
      </c>
      <c r="W38" s="1044"/>
      <c r="X38" s="1045"/>
      <c r="Y38" s="1043" t="str">
        <f>IF(Y$3&lt;&gt;$A$1,"",IF(Y$35=1,Tunneldaten!$E$59,IF(Y$35=2,Tunneldaten!$F$59,IF(Y$35=3,Tunneldaten!$G$59,Tunneldaten!$H$59))))</f>
        <v/>
      </c>
      <c r="Z38" s="1044"/>
      <c r="AA38" s="1045"/>
      <c r="AB38" s="10"/>
    </row>
    <row r="39" spans="1:28" ht="14.25" customHeight="1">
      <c r="F39" s="180" t="s">
        <v>511</v>
      </c>
      <c r="G39" s="546"/>
      <c r="H39" s="547" t="s">
        <v>54</v>
      </c>
      <c r="I39" s="429"/>
      <c r="J39" s="1043" t="str">
        <f>IF(J$3&lt;&gt;$A$1,"",IF(J$35=1,Tunneldaten!$E$61,IF(J$35=2,Tunneldaten!$F$61,IF(J$35=3,Tunneldaten!$G$61,Tunneldaten!$H$61))))</f>
        <v/>
      </c>
      <c r="K39" s="1044"/>
      <c r="L39" s="1045"/>
      <c r="M39" s="1043" t="str">
        <f>IF(M$3&lt;&gt;$A$1,"",IF(M$35=1,Tunneldaten!$E$61,IF(M$35=2,Tunneldaten!$F$61,IF(M$35=3,Tunneldaten!$G$61,Tunneldaten!$H$61))))</f>
        <v/>
      </c>
      <c r="N39" s="1044"/>
      <c r="O39" s="1045"/>
      <c r="P39" s="1043" t="str">
        <f>IF(P$3&lt;&gt;$A$1,"",IF(P$35=1,Tunneldaten!$E$61,IF(P$35=2,Tunneldaten!$F$61,IF(P$35=3,Tunneldaten!$G$61,Tunneldaten!$H$61))))</f>
        <v/>
      </c>
      <c r="Q39" s="1044"/>
      <c r="R39" s="1045"/>
      <c r="S39" s="1043" t="str">
        <f>IF(S$3&lt;&gt;$A$1,"",IF(S$35=1,Tunneldaten!$E$61,IF(S$35=2,Tunneldaten!$F$61,IF(S$35=3,Tunneldaten!$G$61,Tunneldaten!$H$61))))</f>
        <v/>
      </c>
      <c r="T39" s="1044"/>
      <c r="U39" s="1045"/>
      <c r="V39" s="1043" t="str">
        <f>IF(V$3&lt;&gt;$A$1,"",IF(V$35=1,Tunneldaten!$E$61,IF(V$35=2,Tunneldaten!$F$61,IF(V$35=3,Tunneldaten!$G$61,Tunneldaten!$H$61))))</f>
        <v/>
      </c>
      <c r="W39" s="1044"/>
      <c r="X39" s="1045"/>
      <c r="Y39" s="1043" t="str">
        <f>IF(Y$3&lt;&gt;$A$1,"",IF(Y$35=1,Tunneldaten!$E$61,IF(Y$35=2,Tunneldaten!$F$61,IF(Y$35=3,Tunneldaten!$G$61,Tunneldaten!$H$61))))</f>
        <v/>
      </c>
      <c r="Z39" s="1044"/>
      <c r="AA39" s="1045"/>
      <c r="AB39" s="10"/>
    </row>
    <row r="40" spans="1:28" ht="14.25" customHeight="1">
      <c r="A40" s="79"/>
      <c r="B40" s="79"/>
      <c r="C40" s="79"/>
      <c r="D40" s="79"/>
      <c r="E40" s="50"/>
      <c r="F40" s="180" t="s">
        <v>512</v>
      </c>
      <c r="G40" s="546"/>
      <c r="H40" s="547" t="s">
        <v>54</v>
      </c>
      <c r="I40" s="429"/>
      <c r="J40" s="1043" t="str">
        <f>IF(J$3&lt;&gt;$A$1,"",IF(J$35=1,Tunneldaten!$E$62,IF(J$35=2,Tunneldaten!$F$62,IF(J$35=3,Tunneldaten!$G$62,Tunneldaten!$H$62))))</f>
        <v/>
      </c>
      <c r="K40" s="1044"/>
      <c r="L40" s="1045"/>
      <c r="M40" s="1043" t="str">
        <f>IF(M$3&lt;&gt;$A$1,"",IF(M$35=1,Tunneldaten!$E$62,IF(M$35=2,Tunneldaten!$F$62,IF(M$35=3,Tunneldaten!$G$62,Tunneldaten!$H$62))))</f>
        <v/>
      </c>
      <c r="N40" s="1044"/>
      <c r="O40" s="1045"/>
      <c r="P40" s="1043" t="str">
        <f>IF(P$3&lt;&gt;$A$1,"",IF(P$35=1,Tunneldaten!$E$62,IF(P$35=2,Tunneldaten!$F$62,IF(P$35=3,Tunneldaten!$G$62,Tunneldaten!$H$62))))</f>
        <v/>
      </c>
      <c r="Q40" s="1044"/>
      <c r="R40" s="1045"/>
      <c r="S40" s="1043" t="str">
        <f>IF(S$3&lt;&gt;$A$1,"",IF(S$35=1,Tunneldaten!$E$62,IF(S$35=2,Tunneldaten!$F$62,IF(S$35=3,Tunneldaten!$G$62,Tunneldaten!$H$62))))</f>
        <v/>
      </c>
      <c r="T40" s="1044"/>
      <c r="U40" s="1045"/>
      <c r="V40" s="1043" t="str">
        <f>IF(V$3&lt;&gt;$A$1,"",IF(V$35=1,Tunneldaten!$E$62,IF(V$35=2,Tunneldaten!$F$62,IF(V$35=3,Tunneldaten!$G$62,Tunneldaten!$H$62))))</f>
        <v/>
      </c>
      <c r="W40" s="1044"/>
      <c r="X40" s="1045"/>
      <c r="Y40" s="1043" t="str">
        <f>IF(Y$3&lt;&gt;$A$1,"",IF(Y$35=1,Tunneldaten!$E$62,IF(Y$35=2,Tunneldaten!$F$62,IF(Y$35=3,Tunneldaten!$G$62,Tunneldaten!$H$62))))</f>
        <v/>
      </c>
      <c r="Z40" s="1044"/>
      <c r="AA40" s="1045"/>
      <c r="AB40" s="10"/>
    </row>
    <row r="41" spans="1:28" ht="14.25" customHeight="1">
      <c r="E41" s="50"/>
      <c r="F41" s="187" t="s">
        <v>513</v>
      </c>
      <c r="G41" s="135"/>
      <c r="H41" s="548" t="s">
        <v>54</v>
      </c>
      <c r="I41" s="439"/>
      <c r="J41" s="1033" t="str">
        <f>IF(J$3&lt;&gt;$A$1,"",IF(J$35=1,Tunneldaten!$E$63,IF(J$35=2,Tunneldaten!$F$63,IF(J$35=3,Tunneldaten!$G$63,Tunneldaten!$H$63))))</f>
        <v/>
      </c>
      <c r="K41" s="1034"/>
      <c r="L41" s="1035"/>
      <c r="M41" s="1033" t="str">
        <f>IF(M$3&lt;&gt;$A$1,"",IF(M$35=1,Tunneldaten!$E$63,IF(M$35=2,Tunneldaten!$F$63,IF(M$35=3,Tunneldaten!$G$63,Tunneldaten!$H$63))))</f>
        <v/>
      </c>
      <c r="N41" s="1034"/>
      <c r="O41" s="1035"/>
      <c r="P41" s="1033" t="str">
        <f>IF(P$3&lt;&gt;$A$1,"",IF(P$35=1,Tunneldaten!$E$63,IF(P$35=2,Tunneldaten!$F$63,IF(P$35=3,Tunneldaten!$G$63,Tunneldaten!$H$63))))</f>
        <v/>
      </c>
      <c r="Q41" s="1034"/>
      <c r="R41" s="1035"/>
      <c r="S41" s="1033" t="str">
        <f>IF(S$3&lt;&gt;$A$1,"",IF(S$35=1,Tunneldaten!$E$63,IF(S$35=2,Tunneldaten!$F$63,IF(S$35=3,Tunneldaten!$G$63,Tunneldaten!$H$63))))</f>
        <v/>
      </c>
      <c r="T41" s="1034"/>
      <c r="U41" s="1035"/>
      <c r="V41" s="1033" t="str">
        <f>IF(V$3&lt;&gt;$A$1,"",IF(V$35=1,Tunneldaten!$E$63,IF(V$35=2,Tunneldaten!$F$63,IF(V$35=3,Tunneldaten!$G$63,Tunneldaten!$H$63))))</f>
        <v/>
      </c>
      <c r="W41" s="1034"/>
      <c r="X41" s="1035"/>
      <c r="Y41" s="1033" t="str">
        <f>IF(Y$3&lt;&gt;$A$1,"",IF(Y$35=1,Tunneldaten!$E$63,IF(Y$35=2,Tunneldaten!$F$63,IF(Y$35=3,Tunneldaten!$G$63,Tunneldaten!$H$63))))</f>
        <v/>
      </c>
      <c r="Z41" s="1034"/>
      <c r="AA41" s="1035"/>
      <c r="AB41" s="10"/>
    </row>
    <row r="42" spans="1:28" ht="14.25" customHeight="1">
      <c r="E42" s="50"/>
      <c r="F42" s="50"/>
      <c r="G42" s="53"/>
      <c r="H42" s="6"/>
      <c r="J42" s="1133"/>
      <c r="K42" s="1134"/>
      <c r="L42" s="1184"/>
      <c r="M42" s="1133"/>
      <c r="N42" s="1134"/>
      <c r="O42" s="1184"/>
      <c r="P42" s="1133"/>
      <c r="Q42" s="1134"/>
      <c r="R42" s="1184"/>
      <c r="S42" s="1133"/>
      <c r="T42" s="1134"/>
      <c r="U42" s="1184"/>
      <c r="V42" s="1133"/>
      <c r="W42" s="1134"/>
      <c r="X42" s="1184"/>
      <c r="Y42" s="1133"/>
      <c r="Z42" s="1134"/>
      <c r="AA42" s="1184"/>
      <c r="AB42" s="10"/>
    </row>
    <row r="43" spans="1:28" ht="14.25" customHeight="1">
      <c r="F43" s="134" t="s">
        <v>514</v>
      </c>
      <c r="G43" s="89"/>
      <c r="H43" s="897"/>
      <c r="I43" s="375"/>
      <c r="J43" s="1105"/>
      <c r="K43" s="1106"/>
      <c r="L43" s="1107"/>
      <c r="M43" s="1105"/>
      <c r="N43" s="1106"/>
      <c r="O43" s="1107"/>
      <c r="P43" s="1105"/>
      <c r="Q43" s="1106"/>
      <c r="R43" s="1107"/>
      <c r="S43" s="1105"/>
      <c r="T43" s="1106"/>
      <c r="U43" s="1107"/>
      <c r="V43" s="1105"/>
      <c r="W43" s="1106"/>
      <c r="X43" s="1107"/>
      <c r="Y43" s="1105"/>
      <c r="Z43" s="1106"/>
      <c r="AA43" s="1107"/>
      <c r="AB43" s="10"/>
    </row>
    <row r="44" spans="1:28" ht="8.25" customHeight="1">
      <c r="G44" s="5"/>
      <c r="H44" s="6"/>
      <c r="J44" s="1185"/>
      <c r="K44" s="1186"/>
      <c r="L44" s="1187"/>
      <c r="M44" s="1188"/>
      <c r="N44" s="1189"/>
      <c r="O44" s="1190"/>
      <c r="P44" s="1188"/>
      <c r="Q44" s="1189"/>
      <c r="R44" s="1190"/>
      <c r="S44" s="1188"/>
      <c r="T44" s="1189"/>
      <c r="U44" s="1190"/>
      <c r="V44" s="1188"/>
      <c r="W44" s="1189"/>
      <c r="X44" s="1190"/>
      <c r="Y44" s="1188"/>
      <c r="Z44" s="1189"/>
      <c r="AA44" s="1190"/>
      <c r="AB44" s="10"/>
    </row>
    <row r="45" spans="1:28" ht="14.25" customHeight="1">
      <c r="F45" s="376" t="s">
        <v>163</v>
      </c>
      <c r="G45" s="137"/>
      <c r="H45" s="377" t="s">
        <v>369</v>
      </c>
      <c r="I45" s="378"/>
      <c r="J45" s="1102">
        <f>MROUND(IFERROR(SUMIF($A$64:$A$95,$F45,K$64:K$95),0),10)</f>
        <v>0</v>
      </c>
      <c r="K45" s="1103"/>
      <c r="L45" s="1104"/>
      <c r="M45" s="1102">
        <f t="shared" ref="M45:Y48" si="0">MROUND(IFERROR(SUMIF($A$64:$A$95,$F45,N$64:N$95),0),10)</f>
        <v>0</v>
      </c>
      <c r="N45" s="1103"/>
      <c r="O45" s="1104"/>
      <c r="P45" s="1102">
        <f t="shared" ref="P45" si="1">MROUND(IFERROR(SUMIF($A$64:$A$95,$F45,Q$64:Q$95),0),10)</f>
        <v>0</v>
      </c>
      <c r="Q45" s="1103"/>
      <c r="R45" s="1104"/>
      <c r="S45" s="1102">
        <f t="shared" ref="S45" si="2">MROUND(IFERROR(SUMIF($A$64:$A$95,$F45,T$64:T$95),0),10)</f>
        <v>0</v>
      </c>
      <c r="T45" s="1103"/>
      <c r="U45" s="1104"/>
      <c r="V45" s="1102">
        <f t="shared" ref="V45" si="3">MROUND(IFERROR(SUMIF($A$64:$A$95,$F45,W$64:W$95),0),10)</f>
        <v>0</v>
      </c>
      <c r="W45" s="1103"/>
      <c r="X45" s="1104"/>
      <c r="Y45" s="1102">
        <f t="shared" ref="Y45" si="4">MROUND(IFERROR(SUMIF($A$64:$A$95,$F45,Z$64:Z$95),0),10)</f>
        <v>0</v>
      </c>
      <c r="Z45" s="1103"/>
      <c r="AA45" s="1104"/>
      <c r="AB45" s="10"/>
    </row>
    <row r="46" spans="1:28" ht="14.25" customHeight="1">
      <c r="F46" s="419" t="s">
        <v>166</v>
      </c>
      <c r="G46" s="88"/>
      <c r="H46" s="380" t="s">
        <v>369</v>
      </c>
      <c r="I46" s="381"/>
      <c r="J46" s="1040">
        <f>MROUND(IFERROR(SUMIF($A$64:$A$95,$F46,K$64:K$95),0),10)</f>
        <v>0</v>
      </c>
      <c r="K46" s="1041"/>
      <c r="L46" s="1042"/>
      <c r="M46" s="1040">
        <f t="shared" si="0"/>
        <v>0</v>
      </c>
      <c r="N46" s="1041"/>
      <c r="O46" s="1042"/>
      <c r="P46" s="1040">
        <f t="shared" si="0"/>
        <v>0</v>
      </c>
      <c r="Q46" s="1041"/>
      <c r="R46" s="1042"/>
      <c r="S46" s="1040">
        <f t="shared" si="0"/>
        <v>0</v>
      </c>
      <c r="T46" s="1041"/>
      <c r="U46" s="1042"/>
      <c r="V46" s="1040">
        <f t="shared" si="0"/>
        <v>0</v>
      </c>
      <c r="W46" s="1041"/>
      <c r="X46" s="1042"/>
      <c r="Y46" s="1040">
        <f t="shared" si="0"/>
        <v>0</v>
      </c>
      <c r="Z46" s="1041"/>
      <c r="AA46" s="1042"/>
      <c r="AB46" s="10"/>
    </row>
    <row r="47" spans="1:28" ht="14.25" customHeight="1">
      <c r="A47" s="79"/>
      <c r="B47" s="79"/>
      <c r="C47" s="79"/>
      <c r="D47" s="79"/>
      <c r="F47" s="419" t="s">
        <v>168</v>
      </c>
      <c r="G47" s="88"/>
      <c r="H47" s="380" t="s">
        <v>369</v>
      </c>
      <c r="I47" s="381"/>
      <c r="J47" s="1040">
        <f>MROUND(IFERROR(SUMIF($A$64:$A$95,$F47,K$64:K$95),0),10)</f>
        <v>0</v>
      </c>
      <c r="K47" s="1041"/>
      <c r="L47" s="1042"/>
      <c r="M47" s="1040">
        <f t="shared" si="0"/>
        <v>0</v>
      </c>
      <c r="N47" s="1041"/>
      <c r="O47" s="1042"/>
      <c r="P47" s="1040">
        <f t="shared" si="0"/>
        <v>0</v>
      </c>
      <c r="Q47" s="1041"/>
      <c r="R47" s="1042"/>
      <c r="S47" s="1040">
        <f t="shared" si="0"/>
        <v>0</v>
      </c>
      <c r="T47" s="1041"/>
      <c r="U47" s="1042"/>
      <c r="V47" s="1040">
        <f t="shared" si="0"/>
        <v>0</v>
      </c>
      <c r="W47" s="1041"/>
      <c r="X47" s="1042"/>
      <c r="Y47" s="1040">
        <f t="shared" si="0"/>
        <v>0</v>
      </c>
      <c r="Z47" s="1041"/>
      <c r="AA47" s="1042"/>
      <c r="AB47" s="10"/>
    </row>
    <row r="48" spans="1:28" ht="14.25" customHeight="1">
      <c r="F48" s="554" t="s">
        <v>497</v>
      </c>
      <c r="G48" s="88"/>
      <c r="H48" s="380" t="s">
        <v>369</v>
      </c>
      <c r="I48" s="572"/>
      <c r="J48" s="1040">
        <f>MROUND(IFERROR(SUMIF($A$64:$A$95,$F48,K$64:K$95),0),10)</f>
        <v>0</v>
      </c>
      <c r="K48" s="1041"/>
      <c r="L48" s="1042"/>
      <c r="M48" s="1040">
        <f t="shared" si="0"/>
        <v>0</v>
      </c>
      <c r="N48" s="1041"/>
      <c r="O48" s="1042"/>
      <c r="P48" s="1040">
        <f t="shared" si="0"/>
        <v>0</v>
      </c>
      <c r="Q48" s="1041"/>
      <c r="R48" s="1042"/>
      <c r="S48" s="1040">
        <f t="shared" si="0"/>
        <v>0</v>
      </c>
      <c r="T48" s="1041"/>
      <c r="U48" s="1042"/>
      <c r="V48" s="1040">
        <f t="shared" si="0"/>
        <v>0</v>
      </c>
      <c r="W48" s="1041"/>
      <c r="X48" s="1042"/>
      <c r="Y48" s="1040">
        <f t="shared" si="0"/>
        <v>0</v>
      </c>
      <c r="Z48" s="1041"/>
      <c r="AA48" s="1042"/>
      <c r="AB48" s="10"/>
    </row>
    <row r="49" spans="1:28" ht="14.25" customHeight="1">
      <c r="F49" s="382" t="s">
        <v>104</v>
      </c>
      <c r="G49" s="569"/>
      <c r="H49" s="570" t="s">
        <v>369</v>
      </c>
      <c r="I49" s="571"/>
      <c r="J49" s="1130">
        <f>ROUND(IFERROR(SUMIF($A$64:$A$95,$F49,K$64:K$95),0),-1)</f>
        <v>0</v>
      </c>
      <c r="K49" s="1131"/>
      <c r="L49" s="1132"/>
      <c r="M49" s="1130">
        <f>ROUND(IFERROR(SUMIF($A$64:$A$95,$F49,N$64:N$95),0),-1)</f>
        <v>0</v>
      </c>
      <c r="N49" s="1131"/>
      <c r="O49" s="1132"/>
      <c r="P49" s="1130">
        <f t="shared" ref="P49" si="5">ROUND(IFERROR(SUMIF($A$64:$A$95,$F49,Q$64:Q$95),0),-1)</f>
        <v>0</v>
      </c>
      <c r="Q49" s="1131"/>
      <c r="R49" s="1132"/>
      <c r="S49" s="1130">
        <f t="shared" ref="S49" si="6">ROUND(IFERROR(SUMIF($A$64:$A$95,$F49,T$64:T$95),0),-1)</f>
        <v>0</v>
      </c>
      <c r="T49" s="1131"/>
      <c r="U49" s="1132"/>
      <c r="V49" s="1130">
        <f t="shared" ref="V49" si="7">ROUND(IFERROR(SUMIF($A$64:$A$95,$F49,W$64:W$95),0),-1)</f>
        <v>0</v>
      </c>
      <c r="W49" s="1131"/>
      <c r="X49" s="1132"/>
      <c r="Y49" s="1130">
        <f t="shared" ref="Y49" si="8">ROUND(IFERROR(SUMIF($A$64:$A$95,$F49,Z$64:Z$95),0),-1)</f>
        <v>0</v>
      </c>
      <c r="Z49" s="1131"/>
      <c r="AA49" s="1132"/>
      <c r="AB49" s="10"/>
    </row>
    <row r="50" spans="1:28" ht="14.25" customHeight="1">
      <c r="F50" s="50"/>
      <c r="G50" s="5"/>
      <c r="H50" s="6"/>
      <c r="J50" s="1108"/>
      <c r="K50" s="1109"/>
      <c r="L50" s="1110"/>
      <c r="M50" s="1111"/>
      <c r="N50" s="975"/>
      <c r="O50" s="1112"/>
      <c r="P50" s="1111"/>
      <c r="Q50" s="975"/>
      <c r="R50" s="975"/>
      <c r="S50" s="1111"/>
      <c r="T50" s="975"/>
      <c r="U50" s="975"/>
      <c r="V50" s="1111"/>
      <c r="W50" s="975"/>
      <c r="X50" s="975"/>
      <c r="Y50" s="1111"/>
      <c r="Z50" s="975"/>
      <c r="AA50" s="1112"/>
      <c r="AB50" s="10"/>
    </row>
    <row r="51" spans="1:28" ht="14.25" customHeight="1">
      <c r="F51" s="133" t="s">
        <v>515</v>
      </c>
      <c r="G51" s="89"/>
      <c r="H51" s="897" t="s">
        <v>369</v>
      </c>
      <c r="I51" s="375"/>
      <c r="J51" s="1117"/>
      <c r="K51" s="1118"/>
      <c r="L51" s="1119"/>
      <c r="M51" s="1105"/>
      <c r="N51" s="1106"/>
      <c r="O51" s="1107"/>
      <c r="P51" s="1105"/>
      <c r="Q51" s="1106"/>
      <c r="R51" s="1106"/>
      <c r="S51" s="1105"/>
      <c r="T51" s="1106"/>
      <c r="U51" s="1106"/>
      <c r="V51" s="1105"/>
      <c r="W51" s="1106"/>
      <c r="X51" s="1106"/>
      <c r="Y51" s="1105"/>
      <c r="Z51" s="1106"/>
      <c r="AA51" s="1107"/>
      <c r="AB51" s="10"/>
    </row>
    <row r="52" spans="1:28" ht="8.25" customHeight="1">
      <c r="G52" s="5"/>
      <c r="H52" s="6"/>
      <c r="J52" s="1108"/>
      <c r="K52" s="1109"/>
      <c r="L52" s="1110"/>
      <c r="M52" s="1111"/>
      <c r="N52" s="975"/>
      <c r="O52" s="1112"/>
      <c r="P52" s="1111"/>
      <c r="Q52" s="975"/>
      <c r="R52" s="975"/>
      <c r="S52" s="1111"/>
      <c r="T52" s="975"/>
      <c r="U52" s="975"/>
      <c r="V52" s="1111"/>
      <c r="W52" s="975"/>
      <c r="X52" s="975"/>
      <c r="Y52" s="1111"/>
      <c r="Z52" s="975"/>
      <c r="AA52" s="1112"/>
      <c r="AB52" s="10"/>
    </row>
    <row r="53" spans="1:28" ht="14.25" customHeight="1">
      <c r="F53" s="376" t="s">
        <v>189</v>
      </c>
      <c r="G53" s="137"/>
      <c r="H53" s="377" t="s">
        <v>516</v>
      </c>
      <c r="I53" s="378"/>
      <c r="J53" s="1114">
        <f>IFERROR(SUMIF($F$64:$F$95,$F53,L$64:L$95),0)</f>
        <v>0</v>
      </c>
      <c r="K53" s="1115"/>
      <c r="L53" s="1116"/>
      <c r="M53" s="1114">
        <f t="shared" ref="M53:M54" si="9">IFERROR(SUMIF($F$64:$F$95,$F53,O$64:O$95),0)</f>
        <v>0</v>
      </c>
      <c r="N53" s="1115"/>
      <c r="O53" s="1116"/>
      <c r="P53" s="1114">
        <f t="shared" ref="P53:P54" si="10">IFERROR(SUMIF($F$64:$F$95,$F53,R$64:R$95),0)</f>
        <v>0</v>
      </c>
      <c r="Q53" s="1115"/>
      <c r="R53" s="1116"/>
      <c r="S53" s="1114">
        <f t="shared" ref="S53:S54" si="11">IFERROR(SUMIF($F$64:$F$95,$F53,U$64:U$95),0)</f>
        <v>0</v>
      </c>
      <c r="T53" s="1115"/>
      <c r="U53" s="1116"/>
      <c r="V53" s="1114">
        <f t="shared" ref="V53:V54" si="12">IFERROR(SUMIF($F$64:$F$95,$F53,X$64:X$95),0)</f>
        <v>0</v>
      </c>
      <c r="W53" s="1115"/>
      <c r="X53" s="1116"/>
      <c r="Y53" s="1114">
        <f t="shared" ref="Y53:Y54" si="13">IFERROR(SUMIF($F$64:$F$95,$F53,AA$64:AA$95),0)</f>
        <v>0</v>
      </c>
      <c r="Z53" s="1115"/>
      <c r="AA53" s="1116"/>
      <c r="AB53" s="10"/>
    </row>
    <row r="54" spans="1:28" ht="14.25" customHeight="1">
      <c r="F54" s="379" t="s">
        <v>191</v>
      </c>
      <c r="G54" s="88"/>
      <c r="H54" s="380" t="s">
        <v>516</v>
      </c>
      <c r="I54" s="381"/>
      <c r="J54" s="1120">
        <f>IFERROR(SUMIF($F$64:$F$95,$F54,L$64:L$95),0)</f>
        <v>0</v>
      </c>
      <c r="K54" s="1121"/>
      <c r="L54" s="1122"/>
      <c r="M54" s="1120">
        <f t="shared" si="9"/>
        <v>0</v>
      </c>
      <c r="N54" s="1121"/>
      <c r="O54" s="1122"/>
      <c r="P54" s="1120">
        <f t="shared" si="10"/>
        <v>0</v>
      </c>
      <c r="Q54" s="1121"/>
      <c r="R54" s="1122"/>
      <c r="S54" s="1120">
        <f t="shared" si="11"/>
        <v>0</v>
      </c>
      <c r="T54" s="1121"/>
      <c r="U54" s="1122"/>
      <c r="V54" s="1120">
        <f t="shared" si="12"/>
        <v>0</v>
      </c>
      <c r="W54" s="1121"/>
      <c r="X54" s="1122"/>
      <c r="Y54" s="1120">
        <f t="shared" si="13"/>
        <v>0</v>
      </c>
      <c r="Z54" s="1121"/>
      <c r="AA54" s="1122"/>
      <c r="AB54" s="10"/>
    </row>
    <row r="55" spans="1:28" ht="14.25" customHeight="1">
      <c r="F55" s="379" t="s">
        <v>517</v>
      </c>
      <c r="G55" s="88"/>
      <c r="H55" s="380" t="s">
        <v>516</v>
      </c>
      <c r="I55" s="381"/>
      <c r="J55" s="1120">
        <f>J54-J56</f>
        <v>0</v>
      </c>
      <c r="K55" s="1121"/>
      <c r="L55" s="1122"/>
      <c r="M55" s="1120">
        <f t="shared" ref="M55" si="14">M54-M56</f>
        <v>0</v>
      </c>
      <c r="N55" s="1121"/>
      <c r="O55" s="1122"/>
      <c r="P55" s="1120">
        <f t="shared" ref="P55" si="15">P54-P56</f>
        <v>0</v>
      </c>
      <c r="Q55" s="1121"/>
      <c r="R55" s="1122"/>
      <c r="S55" s="1120">
        <f t="shared" ref="S55" si="16">S54-S56</f>
        <v>0</v>
      </c>
      <c r="T55" s="1121"/>
      <c r="U55" s="1122"/>
      <c r="V55" s="1120">
        <f t="shared" ref="V55" si="17">V54-V56</f>
        <v>0</v>
      </c>
      <c r="W55" s="1121"/>
      <c r="X55" s="1122"/>
      <c r="Y55" s="1120">
        <f t="shared" ref="Y55" si="18">Y54-Y56</f>
        <v>0</v>
      </c>
      <c r="Z55" s="1121"/>
      <c r="AA55" s="1122"/>
      <c r="AB55" s="10"/>
    </row>
    <row r="56" spans="1:28" ht="14.25" customHeight="1">
      <c r="F56" s="263" t="s">
        <v>518</v>
      </c>
      <c r="G56" s="264"/>
      <c r="H56" s="265" t="s">
        <v>519</v>
      </c>
      <c r="I56" s="266"/>
      <c r="J56" s="1123">
        <v>0</v>
      </c>
      <c r="K56" s="1124"/>
      <c r="L56" s="1125"/>
      <c r="M56" s="1123">
        <v>0</v>
      </c>
      <c r="N56" s="1124"/>
      <c r="O56" s="1125"/>
      <c r="P56" s="1123">
        <v>0</v>
      </c>
      <c r="Q56" s="1124"/>
      <c r="R56" s="1125"/>
      <c r="S56" s="1123">
        <v>0</v>
      </c>
      <c r="T56" s="1124"/>
      <c r="U56" s="1125"/>
      <c r="V56" s="1123">
        <v>0</v>
      </c>
      <c r="W56" s="1124"/>
      <c r="X56" s="1125"/>
      <c r="Y56" s="1123">
        <v>0</v>
      </c>
      <c r="Z56" s="1124"/>
      <c r="AA56" s="1125"/>
      <c r="AB56" s="10"/>
    </row>
    <row r="57" spans="1:28" ht="14.25" customHeight="1">
      <c r="F57" s="379" t="s">
        <v>98</v>
      </c>
      <c r="G57" s="88"/>
      <c r="H57" s="380" t="s">
        <v>190</v>
      </c>
      <c r="I57" s="381"/>
      <c r="J57" s="1120">
        <f>IFERROR(SUMIF($F$64:$F$95,$F57,L$64:L$95),0)</f>
        <v>0</v>
      </c>
      <c r="K57" s="1121"/>
      <c r="L57" s="1122"/>
      <c r="M57" s="1120">
        <f t="shared" ref="M57:M59" si="19">IFERROR(SUMIF($F$64:$F$95,$F57,O$64:O$95),0)</f>
        <v>0</v>
      </c>
      <c r="N57" s="1121"/>
      <c r="O57" s="1122"/>
      <c r="P57" s="1120">
        <f t="shared" ref="P57:P59" si="20">IFERROR(SUMIF($F$64:$F$95,$F57,R$64:R$95),0)</f>
        <v>0</v>
      </c>
      <c r="Q57" s="1121"/>
      <c r="R57" s="1122"/>
      <c r="S57" s="1120">
        <f t="shared" ref="S57:S59" si="21">IFERROR(SUMIF($F$64:$F$95,$F57,U$64:U$95),0)</f>
        <v>0</v>
      </c>
      <c r="T57" s="1121"/>
      <c r="U57" s="1122"/>
      <c r="V57" s="1120">
        <f t="shared" ref="V57:V59" si="22">IFERROR(SUMIF($F$64:$F$95,$F57,X$64:X$95),0)</f>
        <v>0</v>
      </c>
      <c r="W57" s="1121"/>
      <c r="X57" s="1122"/>
      <c r="Y57" s="1120">
        <f t="shared" ref="Y57:Y59" si="23">IFERROR(SUMIF($F$64:$F$95,$F57,AA$64:AA$95),0)</f>
        <v>0</v>
      </c>
      <c r="Z57" s="1121"/>
      <c r="AA57" s="1122"/>
      <c r="AB57" s="10"/>
    </row>
    <row r="58" spans="1:28" ht="14.25" customHeight="1">
      <c r="F58" s="379" t="s">
        <v>192</v>
      </c>
      <c r="G58" s="88"/>
      <c r="H58" s="380" t="s">
        <v>40</v>
      </c>
      <c r="I58" s="381"/>
      <c r="J58" s="1120">
        <f t="shared" ref="J58:J59" si="24">IFERROR(SUMIF($F$64:$F$95,$F58,L$64:L$95),0)</f>
        <v>0</v>
      </c>
      <c r="K58" s="1121"/>
      <c r="L58" s="1122"/>
      <c r="M58" s="1120">
        <f t="shared" si="19"/>
        <v>0</v>
      </c>
      <c r="N58" s="1121"/>
      <c r="O58" s="1122"/>
      <c r="P58" s="1120">
        <f t="shared" si="20"/>
        <v>0</v>
      </c>
      <c r="Q58" s="1121"/>
      <c r="R58" s="1122"/>
      <c r="S58" s="1120">
        <f t="shared" si="21"/>
        <v>0</v>
      </c>
      <c r="T58" s="1121"/>
      <c r="U58" s="1122"/>
      <c r="V58" s="1120">
        <f t="shared" si="22"/>
        <v>0</v>
      </c>
      <c r="W58" s="1121"/>
      <c r="X58" s="1122"/>
      <c r="Y58" s="1120">
        <f t="shared" si="23"/>
        <v>0</v>
      </c>
      <c r="Z58" s="1121"/>
      <c r="AA58" s="1122"/>
      <c r="AB58" s="10"/>
    </row>
    <row r="59" spans="1:28" ht="14.25" customHeight="1">
      <c r="F59" s="382" t="s">
        <v>100</v>
      </c>
      <c r="G59" s="138"/>
      <c r="H59" s="383" t="s">
        <v>516</v>
      </c>
      <c r="I59" s="384"/>
      <c r="J59" s="1127">
        <f t="shared" si="24"/>
        <v>0</v>
      </c>
      <c r="K59" s="1128"/>
      <c r="L59" s="1129"/>
      <c r="M59" s="1127">
        <f t="shared" si="19"/>
        <v>0</v>
      </c>
      <c r="N59" s="1128"/>
      <c r="O59" s="1129"/>
      <c r="P59" s="1127">
        <f t="shared" si="20"/>
        <v>0</v>
      </c>
      <c r="Q59" s="1128"/>
      <c r="R59" s="1129"/>
      <c r="S59" s="1127">
        <f t="shared" si="21"/>
        <v>0</v>
      </c>
      <c r="T59" s="1128"/>
      <c r="U59" s="1129"/>
      <c r="V59" s="1127">
        <f t="shared" si="22"/>
        <v>0</v>
      </c>
      <c r="W59" s="1128"/>
      <c r="X59" s="1129"/>
      <c r="Y59" s="1127">
        <f t="shared" si="23"/>
        <v>0</v>
      </c>
      <c r="Z59" s="1128"/>
      <c r="AA59" s="1129"/>
      <c r="AB59" s="10"/>
    </row>
    <row r="60" spans="1:28" ht="14.25" customHeight="1">
      <c r="C60" s="385"/>
      <c r="D60" s="385"/>
      <c r="E60" s="385"/>
      <c r="F60" s="385"/>
      <c r="G60" s="386"/>
      <c r="H60" s="385"/>
      <c r="I60" s="385"/>
      <c r="J60" s="387"/>
      <c r="K60" s="385"/>
      <c r="M60" s="10"/>
      <c r="P60" s="10"/>
      <c r="S60" s="10"/>
      <c r="V60" s="10"/>
      <c r="Y60" s="10"/>
      <c r="AB60" s="10"/>
    </row>
    <row r="61" spans="1:28" ht="14.25" customHeight="1">
      <c r="C61" s="385"/>
      <c r="D61" s="385"/>
      <c r="E61" s="385"/>
      <c r="F61" s="385"/>
      <c r="G61" s="386"/>
      <c r="H61" s="385"/>
      <c r="I61" s="385"/>
      <c r="J61" s="387"/>
      <c r="K61" s="385"/>
      <c r="M61" s="10"/>
      <c r="P61" s="10"/>
      <c r="S61" s="10"/>
      <c r="V61" s="10"/>
      <c r="Y61" s="10"/>
      <c r="AB61" s="10"/>
    </row>
    <row r="62" spans="1:28" s="56" customFormat="1" ht="14.25" customHeight="1">
      <c r="B62" s="98" t="s">
        <v>125</v>
      </c>
      <c r="C62" s="99" t="s">
        <v>444</v>
      </c>
      <c r="D62" s="99" t="s">
        <v>520</v>
      </c>
      <c r="E62" s="98" t="s">
        <v>521</v>
      </c>
      <c r="F62" s="1126" t="s">
        <v>522</v>
      </c>
      <c r="G62" s="1126"/>
      <c r="H62" s="98" t="s">
        <v>523</v>
      </c>
      <c r="I62" s="98"/>
      <c r="J62" s="100" t="s">
        <v>524</v>
      </c>
      <c r="K62" s="99" t="s">
        <v>525</v>
      </c>
      <c r="L62" s="101" t="s">
        <v>522</v>
      </c>
      <c r="M62" s="100" t="s">
        <v>524</v>
      </c>
      <c r="N62" s="99" t="s">
        <v>525</v>
      </c>
      <c r="O62" s="101" t="s">
        <v>522</v>
      </c>
      <c r="P62" s="100" t="s">
        <v>524</v>
      </c>
      <c r="Q62" s="99" t="s">
        <v>525</v>
      </c>
      <c r="R62" s="101" t="s">
        <v>522</v>
      </c>
      <c r="S62" s="100" t="s">
        <v>524</v>
      </c>
      <c r="T62" s="99" t="s">
        <v>525</v>
      </c>
      <c r="U62" s="101" t="s">
        <v>522</v>
      </c>
      <c r="V62" s="100" t="s">
        <v>524</v>
      </c>
      <c r="W62" s="99" t="s">
        <v>525</v>
      </c>
      <c r="X62" s="101" t="s">
        <v>522</v>
      </c>
      <c r="Y62" s="100" t="s">
        <v>524</v>
      </c>
      <c r="Z62" s="99" t="s">
        <v>525</v>
      </c>
      <c r="AA62" s="101" t="s">
        <v>522</v>
      </c>
      <c r="AB62" s="78"/>
    </row>
    <row r="63" spans="1:28" ht="8.25" customHeight="1">
      <c r="A63" s="56"/>
      <c r="B63" s="56"/>
      <c r="C63" s="61"/>
      <c r="D63" s="61"/>
      <c r="E63" s="58"/>
      <c r="F63" s="59"/>
      <c r="G63" s="61"/>
      <c r="H63" s="62"/>
      <c r="I63" s="62"/>
      <c r="J63" s="78"/>
      <c r="K63" s="56"/>
      <c r="L63" s="56"/>
      <c r="M63" s="63"/>
      <c r="N63" s="58"/>
      <c r="O63" s="83"/>
      <c r="P63" s="63"/>
      <c r="Q63" s="58"/>
      <c r="R63" s="60"/>
      <c r="S63" s="63"/>
      <c r="T63" s="58"/>
      <c r="U63" s="60"/>
      <c r="V63" s="63"/>
      <c r="W63" s="58"/>
      <c r="X63" s="83"/>
      <c r="Y63" s="63"/>
      <c r="Z63" s="58"/>
      <c r="AA63" s="60"/>
      <c r="AB63" s="10"/>
    </row>
    <row r="64" spans="1:28" ht="14.25" customHeight="1">
      <c r="A64" s="414" t="s">
        <v>163</v>
      </c>
      <c r="B64" s="390"/>
      <c r="C64" s="388" t="s">
        <v>53</v>
      </c>
      <c r="D64" s="388" t="s">
        <v>346</v>
      </c>
      <c r="E64" s="452">
        <v>55</v>
      </c>
      <c r="F64" s="106" t="s">
        <v>189</v>
      </c>
      <c r="G64" s="107" t="s">
        <v>346</v>
      </c>
      <c r="H64" s="389">
        <v>1</v>
      </c>
      <c r="I64" s="390"/>
      <c r="J64" s="391">
        <f>IFERROR(J$5*J$8*J9/100,0)</f>
        <v>0</v>
      </c>
      <c r="K64" s="108">
        <f>ROUND($E64*J64,)</f>
        <v>0</v>
      </c>
      <c r="L64" s="109">
        <f t="shared" ref="L64:L68" si="25">$H64*J64</f>
        <v>0</v>
      </c>
      <c r="M64" s="391">
        <f t="shared" ref="M64" si="26">IFERROR(M$5*M$8*M9/100,0)</f>
        <v>0</v>
      </c>
      <c r="N64" s="108">
        <f t="shared" ref="N64:Z79" si="27">ROUND($E64*M64,)</f>
        <v>0</v>
      </c>
      <c r="O64" s="109">
        <f t="shared" ref="O64:O89" si="28">$H64*M64</f>
        <v>0</v>
      </c>
      <c r="P64" s="391">
        <f t="shared" ref="P64" si="29">IFERROR(P$5*P$8*P9/100,0)</f>
        <v>0</v>
      </c>
      <c r="Q64" s="108">
        <f t="shared" ref="Q64" si="30">ROUND($E64*P64,)</f>
        <v>0</v>
      </c>
      <c r="R64" s="109">
        <f t="shared" ref="R64:R89" si="31">$H64*P64</f>
        <v>0</v>
      </c>
      <c r="S64" s="391">
        <f t="shared" ref="S64" si="32">IFERROR(S$5*S$8*S9/100,0)</f>
        <v>0</v>
      </c>
      <c r="T64" s="108">
        <f t="shared" ref="T64" si="33">ROUND($E64*S64,)</f>
        <v>0</v>
      </c>
      <c r="U64" s="109">
        <f t="shared" ref="U64:U89" si="34">$H64*S64</f>
        <v>0</v>
      </c>
      <c r="V64" s="391">
        <f t="shared" ref="V64" si="35">IFERROR(V$5*V$8*V9/100,0)</f>
        <v>0</v>
      </c>
      <c r="W64" s="108">
        <f t="shared" ref="W64" si="36">ROUND($E64*V64,)</f>
        <v>0</v>
      </c>
      <c r="X64" s="109">
        <f t="shared" ref="X64:X89" si="37">$H64*V64</f>
        <v>0</v>
      </c>
      <c r="Y64" s="391">
        <f t="shared" ref="Y64" si="38">IFERROR(Y$5*Y$8*Y9/100,0)</f>
        <v>0</v>
      </c>
      <c r="Z64" s="108">
        <f t="shared" ref="Z64" si="39">ROUND($E64*Y64,)</f>
        <v>0</v>
      </c>
      <c r="AA64" s="109">
        <f t="shared" ref="AA64:AA89" si="40">$H64*Y64</f>
        <v>0</v>
      </c>
      <c r="AB64" s="10"/>
    </row>
    <row r="65" spans="1:28" ht="14.25" customHeight="1">
      <c r="A65" s="415" t="s">
        <v>163</v>
      </c>
      <c r="B65" s="394"/>
      <c r="C65" s="392" t="s">
        <v>57</v>
      </c>
      <c r="D65" s="392" t="s">
        <v>346</v>
      </c>
      <c r="E65" s="461">
        <v>60</v>
      </c>
      <c r="F65" s="90" t="s">
        <v>189</v>
      </c>
      <c r="G65" s="91" t="s">
        <v>346</v>
      </c>
      <c r="H65" s="393">
        <v>1</v>
      </c>
      <c r="I65" s="394"/>
      <c r="J65" s="395">
        <f>IFERROR(J$5*J$8*J10/100,0)</f>
        <v>0</v>
      </c>
      <c r="K65" s="92">
        <f t="shared" ref="K65:K89" si="41">ROUND($E65*J65,)</f>
        <v>0</v>
      </c>
      <c r="L65" s="93">
        <f t="shared" si="25"/>
        <v>0</v>
      </c>
      <c r="M65" s="395">
        <f t="shared" ref="M65" si="42">IFERROR(M$5*M$8*M10/100,0)</f>
        <v>0</v>
      </c>
      <c r="N65" s="92">
        <f t="shared" si="27"/>
        <v>0</v>
      </c>
      <c r="O65" s="93">
        <f t="shared" si="28"/>
        <v>0</v>
      </c>
      <c r="P65" s="395">
        <f t="shared" ref="P65" si="43">IFERROR(P$5*P$8*P10/100,0)</f>
        <v>0</v>
      </c>
      <c r="Q65" s="92">
        <f t="shared" si="27"/>
        <v>0</v>
      </c>
      <c r="R65" s="93">
        <f t="shared" si="31"/>
        <v>0</v>
      </c>
      <c r="S65" s="395">
        <f t="shared" ref="S65" si="44">IFERROR(S$5*S$8*S10/100,0)</f>
        <v>0</v>
      </c>
      <c r="T65" s="92">
        <f t="shared" si="27"/>
        <v>0</v>
      </c>
      <c r="U65" s="93">
        <f t="shared" si="34"/>
        <v>0</v>
      </c>
      <c r="V65" s="395">
        <f t="shared" ref="V65" si="45">IFERROR(V$5*V$8*V10/100,0)</f>
        <v>0</v>
      </c>
      <c r="W65" s="92">
        <f t="shared" si="27"/>
        <v>0</v>
      </c>
      <c r="X65" s="93">
        <f t="shared" si="37"/>
        <v>0</v>
      </c>
      <c r="Y65" s="395">
        <f t="shared" ref="Y65" si="46">IFERROR(Y$5*Y$8*Y10/100,0)</f>
        <v>0</v>
      </c>
      <c r="Z65" s="92">
        <f t="shared" si="27"/>
        <v>0</v>
      </c>
      <c r="AA65" s="93">
        <f t="shared" si="40"/>
        <v>0</v>
      </c>
      <c r="AB65" s="10"/>
    </row>
    <row r="66" spans="1:28" ht="14.25" customHeight="1">
      <c r="A66" s="415" t="s">
        <v>163</v>
      </c>
      <c r="B66" s="394"/>
      <c r="C66" s="392" t="s">
        <v>60</v>
      </c>
      <c r="D66" s="392" t="s">
        <v>346</v>
      </c>
      <c r="E66" s="461">
        <v>80</v>
      </c>
      <c r="F66" s="90" t="s">
        <v>189</v>
      </c>
      <c r="G66" s="91" t="s">
        <v>346</v>
      </c>
      <c r="H66" s="393">
        <v>1</v>
      </c>
      <c r="I66" s="394"/>
      <c r="J66" s="395">
        <f>IFERROR(J$5*J$8*J11/100,0)</f>
        <v>0</v>
      </c>
      <c r="K66" s="92">
        <f t="shared" si="41"/>
        <v>0</v>
      </c>
      <c r="L66" s="93">
        <f t="shared" si="25"/>
        <v>0</v>
      </c>
      <c r="M66" s="395">
        <f t="shared" ref="M66" si="47">IFERROR(M$5*M$8*M11/100,0)</f>
        <v>0</v>
      </c>
      <c r="N66" s="92">
        <f t="shared" si="27"/>
        <v>0</v>
      </c>
      <c r="O66" s="93">
        <f t="shared" si="28"/>
        <v>0</v>
      </c>
      <c r="P66" s="395">
        <f t="shared" ref="P66" si="48">IFERROR(P$5*P$8*P11/100,0)</f>
        <v>0</v>
      </c>
      <c r="Q66" s="92">
        <f t="shared" si="27"/>
        <v>0</v>
      </c>
      <c r="R66" s="93">
        <f t="shared" si="31"/>
        <v>0</v>
      </c>
      <c r="S66" s="395">
        <f t="shared" ref="S66" si="49">IFERROR(S$5*S$8*S11/100,0)</f>
        <v>0</v>
      </c>
      <c r="T66" s="92">
        <f t="shared" si="27"/>
        <v>0</v>
      </c>
      <c r="U66" s="93">
        <f t="shared" si="34"/>
        <v>0</v>
      </c>
      <c r="V66" s="395">
        <f t="shared" ref="V66" si="50">IFERROR(V$5*V$8*V11/100,0)</f>
        <v>0</v>
      </c>
      <c r="W66" s="92">
        <f t="shared" si="27"/>
        <v>0</v>
      </c>
      <c r="X66" s="93">
        <f t="shared" si="37"/>
        <v>0</v>
      </c>
      <c r="Y66" s="395">
        <f t="shared" ref="Y66" si="51">IFERROR(Y$5*Y$8*Y11/100,0)</f>
        <v>0</v>
      </c>
      <c r="Z66" s="92">
        <f t="shared" si="27"/>
        <v>0</v>
      </c>
      <c r="AA66" s="93">
        <f t="shared" si="40"/>
        <v>0</v>
      </c>
      <c r="AB66" s="10"/>
    </row>
    <row r="67" spans="1:28" ht="14.25" customHeight="1">
      <c r="A67" s="415" t="s">
        <v>163</v>
      </c>
      <c r="B67" s="394"/>
      <c r="C67" s="392" t="s">
        <v>63</v>
      </c>
      <c r="D67" s="392" t="s">
        <v>346</v>
      </c>
      <c r="E67" s="461">
        <v>120</v>
      </c>
      <c r="F67" s="90" t="s">
        <v>189</v>
      </c>
      <c r="G67" s="91" t="s">
        <v>346</v>
      </c>
      <c r="H67" s="393">
        <v>1</v>
      </c>
      <c r="I67" s="394"/>
      <c r="J67" s="395">
        <f>IFERROR(J$5*J$8*J12/100,0)</f>
        <v>0</v>
      </c>
      <c r="K67" s="92">
        <f t="shared" si="41"/>
        <v>0</v>
      </c>
      <c r="L67" s="93">
        <f t="shared" si="25"/>
        <v>0</v>
      </c>
      <c r="M67" s="395">
        <f t="shared" ref="M67" si="52">IFERROR(M$5*M$8*M12/100,0)</f>
        <v>0</v>
      </c>
      <c r="N67" s="92">
        <f t="shared" si="27"/>
        <v>0</v>
      </c>
      <c r="O67" s="93">
        <f t="shared" si="28"/>
        <v>0</v>
      </c>
      <c r="P67" s="395">
        <f t="shared" ref="P67" si="53">IFERROR(P$5*P$8*P12/100,0)</f>
        <v>0</v>
      </c>
      <c r="Q67" s="92">
        <f t="shared" si="27"/>
        <v>0</v>
      </c>
      <c r="R67" s="93">
        <f t="shared" si="31"/>
        <v>0</v>
      </c>
      <c r="S67" s="395">
        <f t="shared" ref="S67" si="54">IFERROR(S$5*S$8*S12/100,0)</f>
        <v>0</v>
      </c>
      <c r="T67" s="92">
        <f t="shared" si="27"/>
        <v>0</v>
      </c>
      <c r="U67" s="93">
        <f t="shared" si="34"/>
        <v>0</v>
      </c>
      <c r="V67" s="395">
        <f t="shared" ref="V67" si="55">IFERROR(V$5*V$8*V12/100,0)</f>
        <v>0</v>
      </c>
      <c r="W67" s="92">
        <f t="shared" si="27"/>
        <v>0</v>
      </c>
      <c r="X67" s="93">
        <f t="shared" si="37"/>
        <v>0</v>
      </c>
      <c r="Y67" s="395">
        <f t="shared" ref="Y67" si="56">IFERROR(Y$5*Y$8*Y12/100,0)</f>
        <v>0</v>
      </c>
      <c r="Z67" s="92">
        <f t="shared" si="27"/>
        <v>0</v>
      </c>
      <c r="AA67" s="93">
        <f t="shared" si="40"/>
        <v>0</v>
      </c>
      <c r="AB67" s="10"/>
    </row>
    <row r="68" spans="1:28" ht="14.25" customHeight="1">
      <c r="A68" s="878" t="s">
        <v>163</v>
      </c>
      <c r="B68" s="398"/>
      <c r="C68" s="396" t="s">
        <v>65</v>
      </c>
      <c r="D68" s="396" t="s">
        <v>346</v>
      </c>
      <c r="E68" s="879">
        <v>180</v>
      </c>
      <c r="F68" s="110" t="s">
        <v>189</v>
      </c>
      <c r="G68" s="111" t="s">
        <v>346</v>
      </c>
      <c r="H68" s="397">
        <v>1</v>
      </c>
      <c r="I68" s="398"/>
      <c r="J68" s="399">
        <f>IFERROR(J$5*J$8*J13/100,0)</f>
        <v>0</v>
      </c>
      <c r="K68" s="112">
        <f t="shared" si="41"/>
        <v>0</v>
      </c>
      <c r="L68" s="113">
        <f t="shared" si="25"/>
        <v>0</v>
      </c>
      <c r="M68" s="399">
        <f t="shared" ref="M68" si="57">IFERROR(M$5*M$8*M13/100,0)</f>
        <v>0</v>
      </c>
      <c r="N68" s="112">
        <f t="shared" si="27"/>
        <v>0</v>
      </c>
      <c r="O68" s="113">
        <f t="shared" si="28"/>
        <v>0</v>
      </c>
      <c r="P68" s="399">
        <f t="shared" ref="P68" si="58">IFERROR(P$5*P$8*P13/100,0)</f>
        <v>0</v>
      </c>
      <c r="Q68" s="112">
        <f t="shared" si="27"/>
        <v>0</v>
      </c>
      <c r="R68" s="113">
        <f t="shared" si="31"/>
        <v>0</v>
      </c>
      <c r="S68" s="399">
        <f t="shared" ref="S68" si="59">IFERROR(S$5*S$8*S13/100,0)</f>
        <v>0</v>
      </c>
      <c r="T68" s="112">
        <f t="shared" si="27"/>
        <v>0</v>
      </c>
      <c r="U68" s="113">
        <f t="shared" si="34"/>
        <v>0</v>
      </c>
      <c r="V68" s="399">
        <f t="shared" ref="V68" si="60">IFERROR(V$5*V$8*V13/100,0)</f>
        <v>0</v>
      </c>
      <c r="W68" s="112">
        <f t="shared" si="27"/>
        <v>0</v>
      </c>
      <c r="X68" s="113">
        <f t="shared" si="37"/>
        <v>0</v>
      </c>
      <c r="Y68" s="399">
        <f t="shared" ref="Y68" si="61">IFERROR(Y$5*Y$8*Y13/100,0)</f>
        <v>0</v>
      </c>
      <c r="Z68" s="112">
        <f t="shared" si="27"/>
        <v>0</v>
      </c>
      <c r="AA68" s="113">
        <f t="shared" si="40"/>
        <v>0</v>
      </c>
      <c r="AB68" s="10"/>
    </row>
    <row r="69" spans="1:28" ht="14.25" customHeight="1">
      <c r="A69" s="414" t="s">
        <v>166</v>
      </c>
      <c r="B69" s="390" t="s">
        <v>527</v>
      </c>
      <c r="C69" s="388" t="s">
        <v>57</v>
      </c>
      <c r="D69" s="388" t="s">
        <v>528</v>
      </c>
      <c r="E69" s="880">
        <f>Parameter!$C$85</f>
        <v>95</v>
      </c>
      <c r="F69" s="114" t="s">
        <v>98</v>
      </c>
      <c r="G69" s="107" t="s">
        <v>190</v>
      </c>
      <c r="H69" s="400">
        <f>Parameter!$C$36</f>
        <v>1.54E-2</v>
      </c>
      <c r="I69" s="390"/>
      <c r="J69" s="391">
        <f>IFERROR('Baukosten-SPV'!J$5*J10/100*J$21*Parameter!C73,0)</f>
        <v>0</v>
      </c>
      <c r="K69" s="108">
        <f t="shared" si="41"/>
        <v>0</v>
      </c>
      <c r="L69" s="109">
        <f t="shared" ref="L69:L84" si="62">$H69*J69</f>
        <v>0</v>
      </c>
      <c r="M69" s="391">
        <f t="shared" ref="M69" si="63">IFERROR(M$5*M10/100*M$21/2/4/2,0)</f>
        <v>0</v>
      </c>
      <c r="N69" s="108">
        <f t="shared" si="27"/>
        <v>0</v>
      </c>
      <c r="O69" s="109">
        <f t="shared" si="28"/>
        <v>0</v>
      </c>
      <c r="P69" s="391">
        <f t="shared" ref="P69" si="64">IFERROR(P$5*P10/100*P$21/2/4/2,0)</f>
        <v>0</v>
      </c>
      <c r="Q69" s="108">
        <f t="shared" si="27"/>
        <v>0</v>
      </c>
      <c r="R69" s="109">
        <f t="shared" si="31"/>
        <v>0</v>
      </c>
      <c r="S69" s="391">
        <f t="shared" ref="S69" si="65">IFERROR(S$5*S10/100*S$21/2/4/2,0)</f>
        <v>0</v>
      </c>
      <c r="T69" s="108">
        <f t="shared" si="27"/>
        <v>0</v>
      </c>
      <c r="U69" s="109">
        <f t="shared" si="34"/>
        <v>0</v>
      </c>
      <c r="V69" s="391">
        <f t="shared" ref="V69" si="66">IFERROR(V$5*V10/100*V$21/2/4/2,0)</f>
        <v>0</v>
      </c>
      <c r="W69" s="108">
        <f t="shared" si="27"/>
        <v>0</v>
      </c>
      <c r="X69" s="109">
        <f t="shared" si="37"/>
        <v>0</v>
      </c>
      <c r="Y69" s="391">
        <f t="shared" ref="Y69" si="67">IFERROR(Y$5*Y10/100*Y$21/2/4/2,0)</f>
        <v>0</v>
      </c>
      <c r="Z69" s="108">
        <f t="shared" si="27"/>
        <v>0</v>
      </c>
      <c r="AA69" s="109">
        <f t="shared" si="40"/>
        <v>0</v>
      </c>
      <c r="AB69" s="10"/>
    </row>
    <row r="70" spans="1:28" ht="14.25" customHeight="1">
      <c r="A70" s="415" t="s">
        <v>166</v>
      </c>
      <c r="B70" s="394" t="s">
        <v>527</v>
      </c>
      <c r="C70" s="392" t="s">
        <v>60</v>
      </c>
      <c r="D70" s="392" t="s">
        <v>528</v>
      </c>
      <c r="E70" s="881">
        <f>Parameter!$C$86</f>
        <v>95</v>
      </c>
      <c r="F70" s="94" t="s">
        <v>98</v>
      </c>
      <c r="G70" s="91" t="s">
        <v>190</v>
      </c>
      <c r="H70" s="401">
        <f>Parameter!$C$36</f>
        <v>1.54E-2</v>
      </c>
      <c r="I70" s="394"/>
      <c r="J70" s="395">
        <f>IFERROR(J$5*J11/100*J$21*Parameter!C74,0)</f>
        <v>0</v>
      </c>
      <c r="K70" s="92">
        <f t="shared" si="41"/>
        <v>0</v>
      </c>
      <c r="L70" s="93">
        <f t="shared" si="62"/>
        <v>0</v>
      </c>
      <c r="M70" s="395">
        <f t="shared" ref="M70" si="68">IFERROR(M$5*M11/100*M$21/2/4/1.5,0)</f>
        <v>0</v>
      </c>
      <c r="N70" s="92">
        <f t="shared" si="27"/>
        <v>0</v>
      </c>
      <c r="O70" s="93">
        <f t="shared" si="28"/>
        <v>0</v>
      </c>
      <c r="P70" s="395">
        <f t="shared" ref="P70" si="69">IFERROR(P$5*P11/100*P$21/2/4/1.5,0)</f>
        <v>0</v>
      </c>
      <c r="Q70" s="92">
        <f t="shared" si="27"/>
        <v>0</v>
      </c>
      <c r="R70" s="93">
        <f t="shared" si="31"/>
        <v>0</v>
      </c>
      <c r="S70" s="395">
        <f t="shared" ref="S70" si="70">IFERROR(S$5*S11/100*S$21/2/4/1.5,0)</f>
        <v>0</v>
      </c>
      <c r="T70" s="92">
        <f t="shared" si="27"/>
        <v>0</v>
      </c>
      <c r="U70" s="93">
        <f t="shared" si="34"/>
        <v>0</v>
      </c>
      <c r="V70" s="395">
        <f t="shared" ref="V70" si="71">IFERROR(V$5*V11/100*V$21/2/4/1.5,0)</f>
        <v>0</v>
      </c>
      <c r="W70" s="92">
        <f t="shared" si="27"/>
        <v>0</v>
      </c>
      <c r="X70" s="93">
        <f t="shared" si="37"/>
        <v>0</v>
      </c>
      <c r="Y70" s="395">
        <f t="shared" ref="Y70" si="72">IFERROR(Y$5*Y11/100*Y$21/2/4/1.5,0)</f>
        <v>0</v>
      </c>
      <c r="Z70" s="92">
        <f t="shared" si="27"/>
        <v>0</v>
      </c>
      <c r="AA70" s="93">
        <f t="shared" si="40"/>
        <v>0</v>
      </c>
      <c r="AB70" s="10"/>
    </row>
    <row r="71" spans="1:28" ht="14.25" customHeight="1">
      <c r="A71" s="415" t="s">
        <v>166</v>
      </c>
      <c r="B71" s="394" t="s">
        <v>527</v>
      </c>
      <c r="C71" s="392" t="s">
        <v>63</v>
      </c>
      <c r="D71" s="392" t="s">
        <v>528</v>
      </c>
      <c r="E71" s="881">
        <f>Parameter!$C$87</f>
        <v>120</v>
      </c>
      <c r="F71" s="94" t="s">
        <v>98</v>
      </c>
      <c r="G71" s="91" t="s">
        <v>190</v>
      </c>
      <c r="H71" s="401">
        <f>Parameter!$C$37</f>
        <v>2.3100000000000002E-2</v>
      </c>
      <c r="I71" s="394"/>
      <c r="J71" s="395">
        <f>IFERROR(J$5*J12/100*J$21*Parameter!C75,0)</f>
        <v>0</v>
      </c>
      <c r="K71" s="92">
        <f t="shared" si="41"/>
        <v>0</v>
      </c>
      <c r="L71" s="93">
        <f t="shared" si="62"/>
        <v>0</v>
      </c>
      <c r="M71" s="395">
        <f t="shared" ref="M71" si="73">IFERROR(M$5*M12/100*M$21/2/4/1.2,0)</f>
        <v>0</v>
      </c>
      <c r="N71" s="92">
        <f t="shared" si="27"/>
        <v>0</v>
      </c>
      <c r="O71" s="93">
        <f t="shared" si="28"/>
        <v>0</v>
      </c>
      <c r="P71" s="395">
        <f t="shared" ref="P71" si="74">IFERROR(P$5*P12/100*P$21/2/4/1.2,0)</f>
        <v>0</v>
      </c>
      <c r="Q71" s="92">
        <f t="shared" si="27"/>
        <v>0</v>
      </c>
      <c r="R71" s="93">
        <f t="shared" si="31"/>
        <v>0</v>
      </c>
      <c r="S71" s="395">
        <f t="shared" ref="S71" si="75">IFERROR(S$5*S12/100*S$21/2/4/1.2,0)</f>
        <v>0</v>
      </c>
      <c r="T71" s="92">
        <f t="shared" si="27"/>
        <v>0</v>
      </c>
      <c r="U71" s="93">
        <f t="shared" si="34"/>
        <v>0</v>
      </c>
      <c r="V71" s="395">
        <f t="shared" ref="V71" si="76">IFERROR(V$5*V12/100*V$21/2/4/1.2,0)</f>
        <v>0</v>
      </c>
      <c r="W71" s="92">
        <f t="shared" si="27"/>
        <v>0</v>
      </c>
      <c r="X71" s="93">
        <f t="shared" si="37"/>
        <v>0</v>
      </c>
      <c r="Y71" s="395">
        <f t="shared" ref="Y71" si="77">IFERROR(Y$5*Y12/100*Y$21/2/4/1.2,0)</f>
        <v>0</v>
      </c>
      <c r="Z71" s="92">
        <f t="shared" si="27"/>
        <v>0</v>
      </c>
      <c r="AA71" s="93">
        <f t="shared" si="40"/>
        <v>0</v>
      </c>
      <c r="AB71" s="10"/>
    </row>
    <row r="72" spans="1:28" ht="14.25" customHeight="1">
      <c r="A72" s="878" t="s">
        <v>166</v>
      </c>
      <c r="B72" s="398" t="s">
        <v>527</v>
      </c>
      <c r="C72" s="396" t="s">
        <v>65</v>
      </c>
      <c r="D72" s="396" t="s">
        <v>528</v>
      </c>
      <c r="E72" s="882">
        <f>Parameter!$C$88</f>
        <v>160</v>
      </c>
      <c r="F72" s="115" t="s">
        <v>98</v>
      </c>
      <c r="G72" s="111" t="s">
        <v>190</v>
      </c>
      <c r="H72" s="402">
        <f>Parameter!$C$38</f>
        <v>3.0800000000000001E-2</v>
      </c>
      <c r="I72" s="398"/>
      <c r="J72" s="399">
        <f>IFERROR(J$5*J13/100*J$21*Parameter!C76,0)</f>
        <v>0</v>
      </c>
      <c r="K72" s="112">
        <f t="shared" si="41"/>
        <v>0</v>
      </c>
      <c r="L72" s="113">
        <f t="shared" si="62"/>
        <v>0</v>
      </c>
      <c r="M72" s="399">
        <f t="shared" ref="M72" si="78">IFERROR(M$5*M13/100*M$21/2/4/1,0)</f>
        <v>0</v>
      </c>
      <c r="N72" s="112">
        <f t="shared" si="27"/>
        <v>0</v>
      </c>
      <c r="O72" s="113">
        <f t="shared" si="28"/>
        <v>0</v>
      </c>
      <c r="P72" s="399">
        <f t="shared" ref="P72" si="79">IFERROR(P$5*P13/100*P$21/2/4/1,0)</f>
        <v>0</v>
      </c>
      <c r="Q72" s="112">
        <f t="shared" si="27"/>
        <v>0</v>
      </c>
      <c r="R72" s="113">
        <f t="shared" si="31"/>
        <v>0</v>
      </c>
      <c r="S72" s="399">
        <f t="shared" ref="S72" si="80">IFERROR(S$5*S13/100*S$21/2/4/1,0)</f>
        <v>0</v>
      </c>
      <c r="T72" s="112">
        <f t="shared" si="27"/>
        <v>0</v>
      </c>
      <c r="U72" s="113">
        <f t="shared" si="34"/>
        <v>0</v>
      </c>
      <c r="V72" s="399">
        <f t="shared" ref="V72" si="81">IFERROR(V$5*V13/100*V$21/2/4/1,0)</f>
        <v>0</v>
      </c>
      <c r="W72" s="112">
        <f t="shared" si="27"/>
        <v>0</v>
      </c>
      <c r="X72" s="113">
        <f t="shared" si="37"/>
        <v>0</v>
      </c>
      <c r="Y72" s="399">
        <f t="shared" ref="Y72" si="82">IFERROR(Y$5*Y13/100*Y$21/2/4/1,0)</f>
        <v>0</v>
      </c>
      <c r="Z72" s="112">
        <f t="shared" si="27"/>
        <v>0</v>
      </c>
      <c r="AA72" s="113">
        <f t="shared" si="40"/>
        <v>0</v>
      </c>
      <c r="AB72" s="10"/>
    </row>
    <row r="73" spans="1:28" ht="14.25" customHeight="1">
      <c r="A73" s="453" t="s">
        <v>166</v>
      </c>
      <c r="B73" s="405" t="s">
        <v>529</v>
      </c>
      <c r="C73" s="403" t="s">
        <v>53</v>
      </c>
      <c r="D73" s="403" t="s">
        <v>535</v>
      </c>
      <c r="E73" s="880">
        <f>Parameter!$C$89</f>
        <v>15</v>
      </c>
      <c r="F73" s="102" t="s">
        <v>98</v>
      </c>
      <c r="G73" s="103" t="s">
        <v>190</v>
      </c>
      <c r="H73" s="404">
        <f>Parameter!$C$39</f>
        <v>3.0200000000000001E-3</v>
      </c>
      <c r="I73" s="405"/>
      <c r="J73" s="406">
        <f>IFERROR(J$5*J$21*J$9/100*Parameter!C77,0)</f>
        <v>0</v>
      </c>
      <c r="K73" s="104">
        <f t="shared" si="41"/>
        <v>0</v>
      </c>
      <c r="L73" s="105">
        <f t="shared" si="62"/>
        <v>0</v>
      </c>
      <c r="M73" s="406">
        <f t="shared" ref="M73" si="83">IFERROR(M$5*M$21*M$9/100*0.5,0)</f>
        <v>0</v>
      </c>
      <c r="N73" s="104">
        <f t="shared" si="27"/>
        <v>0</v>
      </c>
      <c r="O73" s="105">
        <f t="shared" si="28"/>
        <v>0</v>
      </c>
      <c r="P73" s="406">
        <f t="shared" ref="P73" si="84">IFERROR(P$5*P$21*P$9/100*0.5,0)</f>
        <v>0</v>
      </c>
      <c r="Q73" s="104">
        <f t="shared" si="27"/>
        <v>0</v>
      </c>
      <c r="R73" s="105">
        <f t="shared" si="31"/>
        <v>0</v>
      </c>
      <c r="S73" s="406">
        <f t="shared" ref="S73" si="85">IFERROR(S$5*S$21*S$9/100*0.5,0)</f>
        <v>0</v>
      </c>
      <c r="T73" s="104">
        <f t="shared" si="27"/>
        <v>0</v>
      </c>
      <c r="U73" s="105">
        <f t="shared" si="34"/>
        <v>0</v>
      </c>
      <c r="V73" s="406">
        <f t="shared" ref="V73" si="86">IFERROR(V$5*V$21*V$9/100*0.5,0)</f>
        <v>0</v>
      </c>
      <c r="W73" s="104">
        <f t="shared" si="27"/>
        <v>0</v>
      </c>
      <c r="X73" s="105">
        <f t="shared" si="37"/>
        <v>0</v>
      </c>
      <c r="Y73" s="406">
        <f t="shared" ref="Y73" si="87">IFERROR(Y$5*Y$21*Y$9/100*0.5,0)</f>
        <v>0</v>
      </c>
      <c r="Z73" s="104">
        <f t="shared" si="27"/>
        <v>0</v>
      </c>
      <c r="AA73" s="105">
        <f t="shared" si="40"/>
        <v>0</v>
      </c>
      <c r="AB73" s="10"/>
    </row>
    <row r="74" spans="1:28" ht="14.25" customHeight="1">
      <c r="A74" s="415" t="s">
        <v>166</v>
      </c>
      <c r="B74" s="394" t="s">
        <v>529</v>
      </c>
      <c r="C74" s="392" t="s">
        <v>57</v>
      </c>
      <c r="D74" s="392" t="s">
        <v>535</v>
      </c>
      <c r="E74" s="880">
        <f>Parameter!$C$90</f>
        <v>15</v>
      </c>
      <c r="F74" s="94" t="s">
        <v>98</v>
      </c>
      <c r="G74" s="91" t="s">
        <v>190</v>
      </c>
      <c r="H74" s="401">
        <f>Parameter!$C$39</f>
        <v>3.0200000000000001E-3</v>
      </c>
      <c r="I74" s="394"/>
      <c r="J74" s="395">
        <f>IFERROR(J$5*J$21*J$10/100*Parameter!C78,0)</f>
        <v>0</v>
      </c>
      <c r="K74" s="92">
        <f t="shared" si="41"/>
        <v>0</v>
      </c>
      <c r="L74" s="93">
        <f t="shared" si="62"/>
        <v>0</v>
      </c>
      <c r="M74" s="395">
        <f t="shared" ref="M74" si="88">IFERROR(M$5*M$21*M$10/100*0.7*2,0)</f>
        <v>0</v>
      </c>
      <c r="N74" s="92">
        <f t="shared" si="27"/>
        <v>0</v>
      </c>
      <c r="O74" s="93">
        <f t="shared" si="28"/>
        <v>0</v>
      </c>
      <c r="P74" s="395">
        <f t="shared" ref="P74" si="89">IFERROR(P$5*P$21*P$10/100*0.7*2,0)</f>
        <v>0</v>
      </c>
      <c r="Q74" s="92">
        <f t="shared" si="27"/>
        <v>0</v>
      </c>
      <c r="R74" s="93">
        <f t="shared" si="31"/>
        <v>0</v>
      </c>
      <c r="S74" s="395">
        <f t="shared" ref="S74" si="90">IFERROR(S$5*S$21*S$10/100*0.7*2,0)</f>
        <v>0</v>
      </c>
      <c r="T74" s="92">
        <f t="shared" si="27"/>
        <v>0</v>
      </c>
      <c r="U74" s="93">
        <f t="shared" si="34"/>
        <v>0</v>
      </c>
      <c r="V74" s="395">
        <f t="shared" ref="V74" si="91">IFERROR(V$5*V$21*V$10/100*0.7*2,0)</f>
        <v>0</v>
      </c>
      <c r="W74" s="92">
        <f t="shared" si="27"/>
        <v>0</v>
      </c>
      <c r="X74" s="93">
        <f t="shared" si="37"/>
        <v>0</v>
      </c>
      <c r="Y74" s="395">
        <f t="shared" ref="Y74" si="92">IFERROR(Y$5*Y$21*Y$10/100*0.7*2,0)</f>
        <v>0</v>
      </c>
      <c r="Z74" s="92">
        <f t="shared" si="27"/>
        <v>0</v>
      </c>
      <c r="AA74" s="93">
        <f t="shared" si="40"/>
        <v>0</v>
      </c>
      <c r="AB74" s="10"/>
    </row>
    <row r="75" spans="1:28" ht="14.25" customHeight="1">
      <c r="A75" s="415" t="s">
        <v>166</v>
      </c>
      <c r="B75" s="394" t="s">
        <v>529</v>
      </c>
      <c r="C75" s="392" t="s">
        <v>60</v>
      </c>
      <c r="D75" s="392" t="s">
        <v>535</v>
      </c>
      <c r="E75" s="880">
        <f>Parameter!$C$91</f>
        <v>20</v>
      </c>
      <c r="F75" s="94" t="s">
        <v>98</v>
      </c>
      <c r="G75" s="91" t="s">
        <v>190</v>
      </c>
      <c r="H75" s="401">
        <f>Parameter!$C$40</f>
        <v>5.3699999999999998E-3</v>
      </c>
      <c r="I75" s="394"/>
      <c r="J75" s="395">
        <f>IFERROR(J$5*J$21*J$11/100*Parameter!C79,0)</f>
        <v>0</v>
      </c>
      <c r="K75" s="92">
        <f t="shared" si="41"/>
        <v>0</v>
      </c>
      <c r="L75" s="93">
        <f t="shared" si="62"/>
        <v>0</v>
      </c>
      <c r="M75" s="395">
        <f t="shared" ref="M75" si="93">IFERROR(M$5*M$21*M$11/100*0.8*2,0)</f>
        <v>0</v>
      </c>
      <c r="N75" s="92">
        <f t="shared" si="27"/>
        <v>0</v>
      </c>
      <c r="O75" s="93">
        <f t="shared" si="28"/>
        <v>0</v>
      </c>
      <c r="P75" s="395">
        <f t="shared" ref="P75" si="94">IFERROR(P$5*P$21*P$11/100*0.8*2,0)</f>
        <v>0</v>
      </c>
      <c r="Q75" s="92">
        <f t="shared" si="27"/>
        <v>0</v>
      </c>
      <c r="R75" s="93">
        <f t="shared" si="31"/>
        <v>0</v>
      </c>
      <c r="S75" s="395">
        <f t="shared" ref="S75" si="95">IFERROR(S$5*S$21*S$11/100*0.8*2,0)</f>
        <v>0</v>
      </c>
      <c r="T75" s="92">
        <f t="shared" si="27"/>
        <v>0</v>
      </c>
      <c r="U75" s="93">
        <f t="shared" si="34"/>
        <v>0</v>
      </c>
      <c r="V75" s="395">
        <f t="shared" ref="V75" si="96">IFERROR(V$5*V$21*V$11/100*0.8*2,0)</f>
        <v>0</v>
      </c>
      <c r="W75" s="92">
        <f t="shared" si="27"/>
        <v>0</v>
      </c>
      <c r="X75" s="93">
        <f t="shared" si="37"/>
        <v>0</v>
      </c>
      <c r="Y75" s="395">
        <f t="shared" ref="Y75" si="97">IFERROR(Y$5*Y$21*Y$11/100*0.8*2,0)</f>
        <v>0</v>
      </c>
      <c r="Z75" s="92">
        <f t="shared" si="27"/>
        <v>0</v>
      </c>
      <c r="AA75" s="93">
        <f t="shared" si="40"/>
        <v>0</v>
      </c>
      <c r="AB75" s="10"/>
    </row>
    <row r="76" spans="1:28" ht="14.25" customHeight="1">
      <c r="A76" s="415" t="s">
        <v>166</v>
      </c>
      <c r="B76" s="394" t="s">
        <v>529</v>
      </c>
      <c r="C76" s="392" t="s">
        <v>63</v>
      </c>
      <c r="D76" s="392" t="s">
        <v>535</v>
      </c>
      <c r="E76" s="880">
        <f>Parameter!$C$92</f>
        <v>20</v>
      </c>
      <c r="F76" s="94" t="s">
        <v>98</v>
      </c>
      <c r="G76" s="91" t="s">
        <v>190</v>
      </c>
      <c r="H76" s="401">
        <f>Parameter!$C$40</f>
        <v>5.3699999999999998E-3</v>
      </c>
      <c r="I76" s="394"/>
      <c r="J76" s="395">
        <f>IFERROR(J$5*J$21*J$12/100*Parameter!C80,0)</f>
        <v>0</v>
      </c>
      <c r="K76" s="92">
        <f t="shared" si="41"/>
        <v>0</v>
      </c>
      <c r="L76" s="93">
        <f t="shared" si="62"/>
        <v>0</v>
      </c>
      <c r="M76" s="395">
        <f t="shared" ref="M76" si="98">IFERROR(M$5*M$21*M$12/100*2,0)</f>
        <v>0</v>
      </c>
      <c r="N76" s="92">
        <f t="shared" si="27"/>
        <v>0</v>
      </c>
      <c r="O76" s="93">
        <f t="shared" si="28"/>
        <v>0</v>
      </c>
      <c r="P76" s="395">
        <f t="shared" ref="P76" si="99">IFERROR(P$5*P$21*P$12/100*2,0)</f>
        <v>0</v>
      </c>
      <c r="Q76" s="92">
        <f t="shared" si="27"/>
        <v>0</v>
      </c>
      <c r="R76" s="93">
        <f t="shared" si="31"/>
        <v>0</v>
      </c>
      <c r="S76" s="395">
        <f t="shared" ref="S76" si="100">IFERROR(S$5*S$21*S$12/100*2,0)</f>
        <v>0</v>
      </c>
      <c r="T76" s="92">
        <f t="shared" si="27"/>
        <v>0</v>
      </c>
      <c r="U76" s="93">
        <f t="shared" si="34"/>
        <v>0</v>
      </c>
      <c r="V76" s="395">
        <f t="shared" ref="V76" si="101">IFERROR(V$5*V$21*V$12/100*2,0)</f>
        <v>0</v>
      </c>
      <c r="W76" s="92">
        <f t="shared" si="27"/>
        <v>0</v>
      </c>
      <c r="X76" s="93">
        <f t="shared" si="37"/>
        <v>0</v>
      </c>
      <c r="Y76" s="395">
        <f t="shared" ref="Y76" si="102">IFERROR(Y$5*Y$21*Y$12/100*2,0)</f>
        <v>0</v>
      </c>
      <c r="Z76" s="92">
        <f t="shared" si="27"/>
        <v>0</v>
      </c>
      <c r="AA76" s="93">
        <f t="shared" si="40"/>
        <v>0</v>
      </c>
      <c r="AB76" s="10"/>
    </row>
    <row r="77" spans="1:28" ht="14.25" customHeight="1">
      <c r="A77" s="579" t="s">
        <v>166</v>
      </c>
      <c r="B77" s="409" t="s">
        <v>529</v>
      </c>
      <c r="C77" s="407" t="s">
        <v>65</v>
      </c>
      <c r="D77" s="407" t="s">
        <v>535</v>
      </c>
      <c r="E77" s="880">
        <f>Parameter!$C$93</f>
        <v>20</v>
      </c>
      <c r="F77" s="116" t="s">
        <v>98</v>
      </c>
      <c r="G77" s="117" t="s">
        <v>190</v>
      </c>
      <c r="H77" s="408">
        <f>Parameter!$C$40</f>
        <v>5.3699999999999998E-3</v>
      </c>
      <c r="I77" s="409"/>
      <c r="J77" s="410">
        <f>IFERROR(J$5*J$21*J$13/100*Parameter!C81,0)</f>
        <v>0</v>
      </c>
      <c r="K77" s="118">
        <f t="shared" si="41"/>
        <v>0</v>
      </c>
      <c r="L77" s="119">
        <f t="shared" si="62"/>
        <v>0</v>
      </c>
      <c r="M77" s="410">
        <f t="shared" ref="M77" si="103">IFERROR(M$5*M$21*M$13/100*2,0)</f>
        <v>0</v>
      </c>
      <c r="N77" s="118">
        <f t="shared" si="27"/>
        <v>0</v>
      </c>
      <c r="O77" s="119">
        <f t="shared" si="28"/>
        <v>0</v>
      </c>
      <c r="P77" s="410">
        <f t="shared" ref="P77" si="104">IFERROR(P$5*P$21*P$13/100*2,0)</f>
        <v>0</v>
      </c>
      <c r="Q77" s="118">
        <f t="shared" si="27"/>
        <v>0</v>
      </c>
      <c r="R77" s="119">
        <f t="shared" si="31"/>
        <v>0</v>
      </c>
      <c r="S77" s="410">
        <f t="shared" ref="S77" si="105">IFERROR(S$5*S$21*S$13/100*2,0)</f>
        <v>0</v>
      </c>
      <c r="T77" s="118">
        <f t="shared" si="27"/>
        <v>0</v>
      </c>
      <c r="U77" s="119">
        <f t="shared" si="34"/>
        <v>0</v>
      </c>
      <c r="V77" s="410">
        <f t="shared" ref="V77" si="106">IFERROR(V$5*V$21*V$13/100*2,0)</f>
        <v>0</v>
      </c>
      <c r="W77" s="118">
        <f t="shared" si="27"/>
        <v>0</v>
      </c>
      <c r="X77" s="119">
        <f t="shared" si="37"/>
        <v>0</v>
      </c>
      <c r="Y77" s="410">
        <f t="shared" ref="Y77" si="107">IFERROR(Y$5*Y$21*Y$13/100*2,0)</f>
        <v>0</v>
      </c>
      <c r="Z77" s="118">
        <f t="shared" si="27"/>
        <v>0</v>
      </c>
      <c r="AA77" s="119">
        <f t="shared" si="40"/>
        <v>0</v>
      </c>
      <c r="AB77" s="10"/>
    </row>
    <row r="78" spans="1:28" ht="14.25" customHeight="1">
      <c r="A78" s="414" t="s">
        <v>166</v>
      </c>
      <c r="B78" s="390" t="s">
        <v>530</v>
      </c>
      <c r="C78" s="388" t="s">
        <v>63</v>
      </c>
      <c r="D78" s="388" t="s">
        <v>190</v>
      </c>
      <c r="E78" s="883">
        <f>Parameter!$C$94</f>
        <v>3500</v>
      </c>
      <c r="F78" s="114" t="s">
        <v>98</v>
      </c>
      <c r="G78" s="107" t="s">
        <v>190</v>
      </c>
      <c r="H78" s="172">
        <v>1</v>
      </c>
      <c r="I78" s="390"/>
      <c r="J78" s="391">
        <f>IFERROR(J$5*J12/100*J$21*Parameter!C82,0)</f>
        <v>0</v>
      </c>
      <c r="K78" s="108">
        <f t="shared" si="41"/>
        <v>0</v>
      </c>
      <c r="L78" s="109">
        <f t="shared" si="62"/>
        <v>0</v>
      </c>
      <c r="M78" s="391">
        <f>IFERROR(M$5*M12/100*M$21*Parameter!F82,0)</f>
        <v>0</v>
      </c>
      <c r="N78" s="108">
        <f t="shared" si="27"/>
        <v>0</v>
      </c>
      <c r="O78" s="109">
        <f t="shared" si="28"/>
        <v>0</v>
      </c>
      <c r="P78" s="391">
        <f>IFERROR(P$5*P12/100*P$21*Parameter!I82,0)</f>
        <v>0</v>
      </c>
      <c r="Q78" s="108">
        <f t="shared" si="27"/>
        <v>0</v>
      </c>
      <c r="R78" s="109">
        <f t="shared" si="31"/>
        <v>0</v>
      </c>
      <c r="S78" s="391">
        <f>IFERROR(S$5*S12/100*S$21*Parameter!L82,0)</f>
        <v>0</v>
      </c>
      <c r="T78" s="108">
        <f t="shared" si="27"/>
        <v>0</v>
      </c>
      <c r="U78" s="109">
        <f t="shared" si="34"/>
        <v>0</v>
      </c>
      <c r="V78" s="391">
        <f>IFERROR(V$5*V12/100*V$21*Parameter!O82,0)</f>
        <v>0</v>
      </c>
      <c r="W78" s="108">
        <f t="shared" si="27"/>
        <v>0</v>
      </c>
      <c r="X78" s="109">
        <f t="shared" si="37"/>
        <v>0</v>
      </c>
      <c r="Y78" s="391">
        <f>IFERROR(Y$5*Y12/100*Y$21*Parameter!R82,0)</f>
        <v>0</v>
      </c>
      <c r="Z78" s="108">
        <f t="shared" si="27"/>
        <v>0</v>
      </c>
      <c r="AA78" s="109">
        <f t="shared" si="40"/>
        <v>0</v>
      </c>
      <c r="AB78" s="10"/>
    </row>
    <row r="79" spans="1:28" ht="14.25" customHeight="1">
      <c r="A79" s="878" t="s">
        <v>166</v>
      </c>
      <c r="B79" s="398" t="s">
        <v>530</v>
      </c>
      <c r="C79" s="396" t="s">
        <v>65</v>
      </c>
      <c r="D79" s="396" t="s">
        <v>190</v>
      </c>
      <c r="E79" s="879">
        <f>Parameter!$C$94</f>
        <v>3500</v>
      </c>
      <c r="F79" s="115" t="s">
        <v>98</v>
      </c>
      <c r="G79" s="111" t="s">
        <v>190</v>
      </c>
      <c r="H79" s="869">
        <v>1</v>
      </c>
      <c r="I79" s="398"/>
      <c r="J79" s="399">
        <f>IFERROR(J$5*J13/100*J$21*Parameter!C83,0)</f>
        <v>0</v>
      </c>
      <c r="K79" s="112">
        <f t="shared" si="41"/>
        <v>0</v>
      </c>
      <c r="L79" s="113">
        <f t="shared" si="62"/>
        <v>0</v>
      </c>
      <c r="M79" s="399">
        <f>IFERROR(M$5*M13/100*M$21*Parameter!F83,0)</f>
        <v>0</v>
      </c>
      <c r="N79" s="112">
        <f t="shared" si="27"/>
        <v>0</v>
      </c>
      <c r="O79" s="113">
        <f t="shared" si="28"/>
        <v>0</v>
      </c>
      <c r="P79" s="399">
        <f>IFERROR(P$5*P13/100*P$21*Parameter!I83,0)</f>
        <v>0</v>
      </c>
      <c r="Q79" s="112">
        <f t="shared" si="27"/>
        <v>0</v>
      </c>
      <c r="R79" s="113">
        <f t="shared" si="31"/>
        <v>0</v>
      </c>
      <c r="S79" s="399">
        <f>IFERROR(S$5*S13/100*S$21*Parameter!L83,0)</f>
        <v>0</v>
      </c>
      <c r="T79" s="112">
        <f t="shared" si="27"/>
        <v>0</v>
      </c>
      <c r="U79" s="113">
        <f t="shared" si="34"/>
        <v>0</v>
      </c>
      <c r="V79" s="399">
        <f>IFERROR(V$5*V13/100*V$21*Parameter!O83,0)</f>
        <v>0</v>
      </c>
      <c r="W79" s="112">
        <f t="shared" si="27"/>
        <v>0</v>
      </c>
      <c r="X79" s="113">
        <f t="shared" si="37"/>
        <v>0</v>
      </c>
      <c r="Y79" s="399">
        <f>IFERROR(Y$5*Y13/100*Y$21*Parameter!R83,0)</f>
        <v>0</v>
      </c>
      <c r="Z79" s="112">
        <f t="shared" si="27"/>
        <v>0</v>
      </c>
      <c r="AA79" s="113">
        <f t="shared" si="40"/>
        <v>0</v>
      </c>
      <c r="AB79" s="10"/>
    </row>
    <row r="80" spans="1:28" ht="14.25" customHeight="1">
      <c r="A80" s="453" t="s">
        <v>166</v>
      </c>
      <c r="B80" s="405" t="s">
        <v>531</v>
      </c>
      <c r="C80" s="403" t="s">
        <v>53</v>
      </c>
      <c r="D80" s="403" t="s">
        <v>346</v>
      </c>
      <c r="E80" s="880">
        <v>350</v>
      </c>
      <c r="F80" s="102" t="s">
        <v>191</v>
      </c>
      <c r="G80" s="103" t="s">
        <v>346</v>
      </c>
      <c r="H80" s="411">
        <v>1</v>
      </c>
      <c r="I80" s="405"/>
      <c r="J80" s="406">
        <f>IFERROR(J$5*(J$8-J$22)*J9/100,0)</f>
        <v>0</v>
      </c>
      <c r="K80" s="104">
        <f t="shared" si="41"/>
        <v>0</v>
      </c>
      <c r="L80" s="105">
        <f t="shared" si="62"/>
        <v>0</v>
      </c>
      <c r="M80" s="406">
        <f t="shared" ref="M80" si="108">IFERROR(M$5*(M$8-M$22)*M9/100,0)</f>
        <v>0</v>
      </c>
      <c r="N80" s="104">
        <f t="shared" ref="N80:Z95" si="109">ROUND($E80*M80,)</f>
        <v>0</v>
      </c>
      <c r="O80" s="105">
        <f t="shared" si="28"/>
        <v>0</v>
      </c>
      <c r="P80" s="406">
        <f t="shared" ref="P80" si="110">IFERROR(P$5*(P$8-P$22)*P9/100,0)</f>
        <v>0</v>
      </c>
      <c r="Q80" s="104">
        <f t="shared" si="109"/>
        <v>0</v>
      </c>
      <c r="R80" s="105">
        <f t="shared" si="31"/>
        <v>0</v>
      </c>
      <c r="S80" s="406">
        <f t="shared" ref="S80" si="111">IFERROR(S$5*(S$8-S$22)*S9/100,0)</f>
        <v>0</v>
      </c>
      <c r="T80" s="104">
        <f t="shared" si="109"/>
        <v>0</v>
      </c>
      <c r="U80" s="105">
        <f t="shared" si="34"/>
        <v>0</v>
      </c>
      <c r="V80" s="406">
        <f t="shared" ref="V80" si="112">IFERROR(V$5*(V$8-V$22)*V9/100,0)</f>
        <v>0</v>
      </c>
      <c r="W80" s="104">
        <f t="shared" si="109"/>
        <v>0</v>
      </c>
      <c r="X80" s="105">
        <f t="shared" si="37"/>
        <v>0</v>
      </c>
      <c r="Y80" s="406">
        <f t="shared" ref="Y80" si="113">IFERROR(Y$5*(Y$8-Y$22)*Y9/100,0)</f>
        <v>0</v>
      </c>
      <c r="Z80" s="104">
        <f t="shared" si="109"/>
        <v>0</v>
      </c>
      <c r="AA80" s="105">
        <f t="shared" si="40"/>
        <v>0</v>
      </c>
      <c r="AB80" s="10"/>
    </row>
    <row r="81" spans="1:28" ht="14.25" customHeight="1">
      <c r="A81" s="415" t="s">
        <v>166</v>
      </c>
      <c r="B81" s="394" t="s">
        <v>531</v>
      </c>
      <c r="C81" s="392" t="s">
        <v>57</v>
      </c>
      <c r="D81" s="392" t="s">
        <v>346</v>
      </c>
      <c r="E81" s="95">
        <v>350</v>
      </c>
      <c r="F81" s="94" t="s">
        <v>191</v>
      </c>
      <c r="G81" s="91" t="s">
        <v>346</v>
      </c>
      <c r="H81" s="393">
        <v>1</v>
      </c>
      <c r="I81" s="394"/>
      <c r="J81" s="395">
        <f>IFERROR(J$5*(J$8-J$22)*J10/100,0)</f>
        <v>0</v>
      </c>
      <c r="K81" s="92">
        <f t="shared" si="41"/>
        <v>0</v>
      </c>
      <c r="L81" s="93">
        <f t="shared" si="62"/>
        <v>0</v>
      </c>
      <c r="M81" s="395">
        <f t="shared" ref="M81" si="114">IFERROR(M$5*(M$8-M$22)*M10/100,0)</f>
        <v>0</v>
      </c>
      <c r="N81" s="92">
        <f t="shared" si="109"/>
        <v>0</v>
      </c>
      <c r="O81" s="93">
        <f t="shared" si="28"/>
        <v>0</v>
      </c>
      <c r="P81" s="395">
        <f t="shared" ref="P81" si="115">IFERROR(P$5*(P$8-P$22)*P10/100,0)</f>
        <v>0</v>
      </c>
      <c r="Q81" s="92">
        <f t="shared" si="109"/>
        <v>0</v>
      </c>
      <c r="R81" s="93">
        <f t="shared" si="31"/>
        <v>0</v>
      </c>
      <c r="S81" s="395">
        <f t="shared" ref="S81" si="116">IFERROR(S$5*(S$8-S$22)*S10/100,0)</f>
        <v>0</v>
      </c>
      <c r="T81" s="92">
        <f t="shared" si="109"/>
        <v>0</v>
      </c>
      <c r="U81" s="93">
        <f t="shared" si="34"/>
        <v>0</v>
      </c>
      <c r="V81" s="395">
        <f t="shared" ref="V81" si="117">IFERROR(V$5*(V$8-V$22)*V10/100,0)</f>
        <v>0</v>
      </c>
      <c r="W81" s="92">
        <f t="shared" si="109"/>
        <v>0</v>
      </c>
      <c r="X81" s="93">
        <f t="shared" si="37"/>
        <v>0</v>
      </c>
      <c r="Y81" s="395">
        <f t="shared" ref="Y81" si="118">IFERROR(Y$5*(Y$8-Y$22)*Y10/100,0)</f>
        <v>0</v>
      </c>
      <c r="Z81" s="92">
        <f t="shared" si="109"/>
        <v>0</v>
      </c>
      <c r="AA81" s="93">
        <f t="shared" si="40"/>
        <v>0</v>
      </c>
      <c r="AB81" s="10"/>
    </row>
    <row r="82" spans="1:28" ht="14.25" customHeight="1">
      <c r="A82" s="415" t="s">
        <v>166</v>
      </c>
      <c r="B82" s="394" t="s">
        <v>531</v>
      </c>
      <c r="C82" s="392" t="s">
        <v>60</v>
      </c>
      <c r="D82" s="392" t="s">
        <v>346</v>
      </c>
      <c r="E82" s="95">
        <v>350</v>
      </c>
      <c r="F82" s="94" t="s">
        <v>191</v>
      </c>
      <c r="G82" s="91" t="s">
        <v>346</v>
      </c>
      <c r="H82" s="393">
        <v>1</v>
      </c>
      <c r="I82" s="394"/>
      <c r="J82" s="395">
        <f>IFERROR(J$5*(J$8-J$22)*J11/100,0)</f>
        <v>0</v>
      </c>
      <c r="K82" s="92">
        <f t="shared" si="41"/>
        <v>0</v>
      </c>
      <c r="L82" s="93">
        <f t="shared" si="62"/>
        <v>0</v>
      </c>
      <c r="M82" s="395">
        <f t="shared" ref="M82" si="119">IFERROR(M$5*(M$8-M$22)*M11/100,0)</f>
        <v>0</v>
      </c>
      <c r="N82" s="92">
        <f t="shared" si="109"/>
        <v>0</v>
      </c>
      <c r="O82" s="93">
        <f t="shared" si="28"/>
        <v>0</v>
      </c>
      <c r="P82" s="395">
        <f t="shared" ref="P82" si="120">IFERROR(P$5*(P$8-P$22)*P11/100,0)</f>
        <v>0</v>
      </c>
      <c r="Q82" s="92">
        <f t="shared" si="109"/>
        <v>0</v>
      </c>
      <c r="R82" s="93">
        <f t="shared" si="31"/>
        <v>0</v>
      </c>
      <c r="S82" s="395">
        <f t="shared" ref="S82" si="121">IFERROR(S$5*(S$8-S$22)*S11/100,0)</f>
        <v>0</v>
      </c>
      <c r="T82" s="92">
        <f t="shared" si="109"/>
        <v>0</v>
      </c>
      <c r="U82" s="93">
        <f t="shared" si="34"/>
        <v>0</v>
      </c>
      <c r="V82" s="395">
        <f t="shared" ref="V82" si="122">IFERROR(V$5*(V$8-V$22)*V11/100,0)</f>
        <v>0</v>
      </c>
      <c r="W82" s="92">
        <f t="shared" si="109"/>
        <v>0</v>
      </c>
      <c r="X82" s="93">
        <f t="shared" si="37"/>
        <v>0</v>
      </c>
      <c r="Y82" s="395">
        <f t="shared" ref="Y82" si="123">IFERROR(Y$5*(Y$8-Y$22)*Y11/100,0)</f>
        <v>0</v>
      </c>
      <c r="Z82" s="92">
        <f t="shared" si="109"/>
        <v>0</v>
      </c>
      <c r="AA82" s="93">
        <f t="shared" si="40"/>
        <v>0</v>
      </c>
      <c r="AB82" s="10"/>
    </row>
    <row r="83" spans="1:28" ht="14.25" customHeight="1">
      <c r="A83" s="415" t="s">
        <v>166</v>
      </c>
      <c r="B83" s="394" t="s">
        <v>531</v>
      </c>
      <c r="C83" s="392" t="s">
        <v>63</v>
      </c>
      <c r="D83" s="392" t="s">
        <v>346</v>
      </c>
      <c r="E83" s="95">
        <v>350</v>
      </c>
      <c r="F83" s="94" t="s">
        <v>191</v>
      </c>
      <c r="G83" s="91" t="s">
        <v>346</v>
      </c>
      <c r="H83" s="393">
        <v>1</v>
      </c>
      <c r="I83" s="394"/>
      <c r="J83" s="395">
        <f>IFERROR(J$5*(J$8-J$22)*J12/100,0)</f>
        <v>0</v>
      </c>
      <c r="K83" s="92">
        <f t="shared" si="41"/>
        <v>0</v>
      </c>
      <c r="L83" s="93">
        <f t="shared" si="62"/>
        <v>0</v>
      </c>
      <c r="M83" s="395">
        <f t="shared" ref="M83" si="124">IFERROR(M$5*(M$8-M$22)*M12/100,0)</f>
        <v>0</v>
      </c>
      <c r="N83" s="92">
        <f t="shared" si="109"/>
        <v>0</v>
      </c>
      <c r="O83" s="93">
        <f t="shared" si="28"/>
        <v>0</v>
      </c>
      <c r="P83" s="395">
        <f t="shared" ref="P83" si="125">IFERROR(P$5*(P$8-P$22)*P12/100,0)</f>
        <v>0</v>
      </c>
      <c r="Q83" s="92">
        <f t="shared" si="109"/>
        <v>0</v>
      </c>
      <c r="R83" s="93">
        <f t="shared" si="31"/>
        <v>0</v>
      </c>
      <c r="S83" s="395">
        <f t="shared" ref="S83" si="126">IFERROR(S$5*(S$8-S$22)*S12/100,0)</f>
        <v>0</v>
      </c>
      <c r="T83" s="92">
        <f t="shared" si="109"/>
        <v>0</v>
      </c>
      <c r="U83" s="93">
        <f t="shared" si="34"/>
        <v>0</v>
      </c>
      <c r="V83" s="395">
        <f t="shared" ref="V83" si="127">IFERROR(V$5*(V$8-V$22)*V12/100,0)</f>
        <v>0</v>
      </c>
      <c r="W83" s="92">
        <f t="shared" si="109"/>
        <v>0</v>
      </c>
      <c r="X83" s="93">
        <f t="shared" si="37"/>
        <v>0</v>
      </c>
      <c r="Y83" s="395">
        <f t="shared" ref="Y83" si="128">IFERROR(Y$5*(Y$8-Y$22)*Y12/100,0)</f>
        <v>0</v>
      </c>
      <c r="Z83" s="92">
        <f t="shared" si="109"/>
        <v>0</v>
      </c>
      <c r="AA83" s="93">
        <f t="shared" si="40"/>
        <v>0</v>
      </c>
      <c r="AB83" s="10"/>
    </row>
    <row r="84" spans="1:28" ht="14.25" customHeight="1">
      <c r="A84" s="579" t="s">
        <v>166</v>
      </c>
      <c r="B84" s="409" t="s">
        <v>531</v>
      </c>
      <c r="C84" s="407" t="s">
        <v>65</v>
      </c>
      <c r="D84" s="407" t="s">
        <v>346</v>
      </c>
      <c r="E84" s="120">
        <v>350</v>
      </c>
      <c r="F84" s="116" t="s">
        <v>191</v>
      </c>
      <c r="G84" s="117" t="s">
        <v>346</v>
      </c>
      <c r="H84" s="412">
        <v>1</v>
      </c>
      <c r="I84" s="409"/>
      <c r="J84" s="410">
        <f>IFERROR(J$5*(J$8-J$22)*J13/100,0)</f>
        <v>0</v>
      </c>
      <c r="K84" s="118">
        <f t="shared" si="41"/>
        <v>0</v>
      </c>
      <c r="L84" s="119">
        <f t="shared" si="62"/>
        <v>0</v>
      </c>
      <c r="M84" s="410">
        <f t="shared" ref="M84" si="129">IFERROR(M$5*(M$8-M$22)*M13/100,0)</f>
        <v>0</v>
      </c>
      <c r="N84" s="118">
        <f t="shared" si="109"/>
        <v>0</v>
      </c>
      <c r="O84" s="119">
        <f t="shared" si="28"/>
        <v>0</v>
      </c>
      <c r="P84" s="410">
        <f t="shared" ref="P84" si="130">IFERROR(P$5*(P$8-P$22)*P13/100,0)</f>
        <v>0</v>
      </c>
      <c r="Q84" s="118">
        <f t="shared" si="109"/>
        <v>0</v>
      </c>
      <c r="R84" s="119">
        <f t="shared" si="31"/>
        <v>0</v>
      </c>
      <c r="S84" s="410">
        <f t="shared" ref="S84" si="131">IFERROR(S$5*(S$8-S$22)*S13/100,0)</f>
        <v>0</v>
      </c>
      <c r="T84" s="118">
        <f t="shared" si="109"/>
        <v>0</v>
      </c>
      <c r="U84" s="119">
        <f t="shared" si="34"/>
        <v>0</v>
      </c>
      <c r="V84" s="410">
        <f t="shared" ref="V84" si="132">IFERROR(V$5*(V$8-V$22)*V13/100,0)</f>
        <v>0</v>
      </c>
      <c r="W84" s="118">
        <f t="shared" si="109"/>
        <v>0</v>
      </c>
      <c r="X84" s="119">
        <f t="shared" si="37"/>
        <v>0</v>
      </c>
      <c r="Y84" s="410">
        <f t="shared" ref="Y84" si="133">IFERROR(Y$5*(Y$8-Y$22)*Y13/100,0)</f>
        <v>0</v>
      </c>
      <c r="Z84" s="118">
        <f t="shared" si="109"/>
        <v>0</v>
      </c>
      <c r="AA84" s="119">
        <f t="shared" si="40"/>
        <v>0</v>
      </c>
      <c r="AB84" s="10"/>
    </row>
    <row r="85" spans="1:28" ht="14.25" customHeight="1">
      <c r="A85" s="413" t="s">
        <v>168</v>
      </c>
      <c r="B85" s="121"/>
      <c r="C85" s="122" t="s">
        <v>5</v>
      </c>
      <c r="D85" s="122" t="s">
        <v>535</v>
      </c>
      <c r="E85" s="451">
        <f>Parameter!$C$95</f>
        <v>100</v>
      </c>
      <c r="F85" s="123" t="s">
        <v>192</v>
      </c>
      <c r="G85" s="124" t="s">
        <v>535</v>
      </c>
      <c r="H85" s="125">
        <v>1</v>
      </c>
      <c r="I85" s="121"/>
      <c r="J85" s="126">
        <f>IF(J$32="Vollabdichtung",J$5*J$21,IF(J$32="Teilabdichtung",J$5*J$21*Parameter!$C$43/100,0))</f>
        <v>0</v>
      </c>
      <c r="K85" s="127">
        <f t="shared" si="41"/>
        <v>0</v>
      </c>
      <c r="L85" s="128">
        <f t="shared" ref="L85" si="134">$H85*J85</f>
        <v>0</v>
      </c>
      <c r="M85" s="126">
        <f>IF(M$32="Vollabdichtung",M$5*M$21,IF(M$32="Teilabdichtung",M$5*M$21*Parameter!$C$43/100,0))</f>
        <v>0</v>
      </c>
      <c r="N85" s="127">
        <f t="shared" si="109"/>
        <v>0</v>
      </c>
      <c r="O85" s="128">
        <f t="shared" si="28"/>
        <v>0</v>
      </c>
      <c r="P85" s="126">
        <f>IF(P$32="Vollabdichtung",P$5*P$21,IF(P$32="Teilabdichtung",P$5*P$21*Parameter!$C$43/100,0))</f>
        <v>0</v>
      </c>
      <c r="Q85" s="127">
        <f t="shared" si="109"/>
        <v>0</v>
      </c>
      <c r="R85" s="128">
        <f t="shared" si="31"/>
        <v>0</v>
      </c>
      <c r="S85" s="126">
        <f>IF(S$32="Vollabdichtung",S$5*S$21,IF(S$32="Teilabdichtung",S$5*S$21*Parameter!$C$43/100,0))</f>
        <v>0</v>
      </c>
      <c r="T85" s="127">
        <f t="shared" si="109"/>
        <v>0</v>
      </c>
      <c r="U85" s="128">
        <f t="shared" si="34"/>
        <v>0</v>
      </c>
      <c r="V85" s="126">
        <f>IF(V$32="Vollabdichtung",V$5*V$21,IF(V$32="Teilabdichtung",V$5*V$21*Parameter!$C$43/100,0))</f>
        <v>0</v>
      </c>
      <c r="W85" s="127">
        <f t="shared" si="109"/>
        <v>0</v>
      </c>
      <c r="X85" s="128">
        <f t="shared" si="37"/>
        <v>0</v>
      </c>
      <c r="Y85" s="126">
        <f>IF(Y$32="Vollabdichtung",Y$5*Y$21,IF(Y$32="Teilabdichtung",Y$5*Y$21*Parameter!$C$43/100,0))</f>
        <v>0</v>
      </c>
      <c r="Z85" s="127">
        <f t="shared" si="109"/>
        <v>0</v>
      </c>
      <c r="AA85" s="128">
        <f t="shared" si="40"/>
        <v>0</v>
      </c>
      <c r="AB85" s="10"/>
    </row>
    <row r="86" spans="1:28" ht="14.25" customHeight="1">
      <c r="A86" s="414" t="s">
        <v>497</v>
      </c>
      <c r="B86" s="390" t="s">
        <v>191</v>
      </c>
      <c r="C86" s="388" t="s">
        <v>5</v>
      </c>
      <c r="D86" s="388" t="s">
        <v>346</v>
      </c>
      <c r="E86" s="129">
        <f>Parameter!$C$96</f>
        <v>300</v>
      </c>
      <c r="F86" s="114" t="s">
        <v>191</v>
      </c>
      <c r="G86" s="130" t="s">
        <v>346</v>
      </c>
      <c r="H86" s="389">
        <v>1</v>
      </c>
      <c r="I86" s="390"/>
      <c r="J86" s="391">
        <f>IFERROR(J$5*(J$22-J$31),0)</f>
        <v>0</v>
      </c>
      <c r="K86" s="108">
        <f t="shared" si="41"/>
        <v>0</v>
      </c>
      <c r="L86" s="109">
        <f t="shared" ref="L86:L89" si="135">$H86*J86</f>
        <v>0</v>
      </c>
      <c r="M86" s="391">
        <f t="shared" ref="M86" si="136">IFERROR(M$5*(M$22-M$31),0)</f>
        <v>0</v>
      </c>
      <c r="N86" s="108">
        <f t="shared" si="109"/>
        <v>0</v>
      </c>
      <c r="O86" s="109">
        <f t="shared" si="28"/>
        <v>0</v>
      </c>
      <c r="P86" s="391">
        <f t="shared" ref="P86" si="137">IFERROR(P$5*(P$22-P$31),0)</f>
        <v>0</v>
      </c>
      <c r="Q86" s="108">
        <f t="shared" si="109"/>
        <v>0</v>
      </c>
      <c r="R86" s="109">
        <f t="shared" si="31"/>
        <v>0</v>
      </c>
      <c r="S86" s="391">
        <f t="shared" ref="S86" si="138">IFERROR(S$5*(S$22-S$31),0)</f>
        <v>0</v>
      </c>
      <c r="T86" s="108">
        <f t="shared" si="109"/>
        <v>0</v>
      </c>
      <c r="U86" s="109">
        <f t="shared" si="34"/>
        <v>0</v>
      </c>
      <c r="V86" s="391">
        <f t="shared" ref="V86" si="139">IFERROR(V$5*(V$22-V$31),0)</f>
        <v>0</v>
      </c>
      <c r="W86" s="108">
        <f t="shared" si="109"/>
        <v>0</v>
      </c>
      <c r="X86" s="109">
        <f t="shared" si="37"/>
        <v>0</v>
      </c>
      <c r="Y86" s="391">
        <f t="shared" ref="Y86" si="140">IFERROR(Y$5*(Y$22-Y$31),0)</f>
        <v>0</v>
      </c>
      <c r="Z86" s="108">
        <f t="shared" si="109"/>
        <v>0</v>
      </c>
      <c r="AA86" s="109">
        <f t="shared" si="40"/>
        <v>0</v>
      </c>
      <c r="AB86" s="10"/>
    </row>
    <row r="87" spans="1:28" ht="14.25" customHeight="1">
      <c r="A87" s="415" t="s">
        <v>497</v>
      </c>
      <c r="B87" s="394" t="s">
        <v>532</v>
      </c>
      <c r="C87" s="392" t="s">
        <v>5</v>
      </c>
      <c r="D87" s="392" t="s">
        <v>346</v>
      </c>
      <c r="E87" s="95">
        <f>Parameter!$C$97</f>
        <v>200</v>
      </c>
      <c r="F87" s="94" t="s">
        <v>191</v>
      </c>
      <c r="G87" s="97" t="s">
        <v>346</v>
      </c>
      <c r="H87" s="393">
        <v>1</v>
      </c>
      <c r="I87" s="394"/>
      <c r="J87" s="395">
        <f>IFERROR(J$5*((J$33-J$34)*Parameter!$C$44/100+J$34),0)</f>
        <v>0</v>
      </c>
      <c r="K87" s="92">
        <f t="shared" si="41"/>
        <v>0</v>
      </c>
      <c r="L87" s="93">
        <f t="shared" si="135"/>
        <v>0</v>
      </c>
      <c r="M87" s="395">
        <f>IFERROR(M$5*((M$33-M$34)*Parameter!$C$44/100+M$34),0)</f>
        <v>0</v>
      </c>
      <c r="N87" s="92">
        <f t="shared" si="109"/>
        <v>0</v>
      </c>
      <c r="O87" s="93">
        <f t="shared" si="28"/>
        <v>0</v>
      </c>
      <c r="P87" s="395">
        <f>IFERROR(P$5*((P$33-P$34)*Parameter!$C$44/100+P$34),0)</f>
        <v>0</v>
      </c>
      <c r="Q87" s="92">
        <f t="shared" si="109"/>
        <v>0</v>
      </c>
      <c r="R87" s="93">
        <f t="shared" si="31"/>
        <v>0</v>
      </c>
      <c r="S87" s="395">
        <f>IFERROR(S$5*((S$33-S$34)*Parameter!$C$44/100+S$34),0)</f>
        <v>0</v>
      </c>
      <c r="T87" s="92">
        <f t="shared" si="109"/>
        <v>0</v>
      </c>
      <c r="U87" s="93">
        <f t="shared" si="34"/>
        <v>0</v>
      </c>
      <c r="V87" s="395">
        <f>IFERROR(V$5*((V$33-V$34)*Parameter!$C$44/100+V$34),0)</f>
        <v>0</v>
      </c>
      <c r="W87" s="92">
        <f t="shared" si="109"/>
        <v>0</v>
      </c>
      <c r="X87" s="93">
        <f t="shared" si="37"/>
        <v>0</v>
      </c>
      <c r="Y87" s="395">
        <f>IFERROR(Y$5*((Y$33-Y$34)*Parameter!$C$44/100+Y$34),0)</f>
        <v>0</v>
      </c>
      <c r="Z87" s="92">
        <f t="shared" si="109"/>
        <v>0</v>
      </c>
      <c r="AA87" s="93">
        <f t="shared" si="40"/>
        <v>0</v>
      </c>
      <c r="AB87" s="10"/>
    </row>
    <row r="88" spans="1:28" ht="14.25" customHeight="1">
      <c r="A88" s="415" t="s">
        <v>497</v>
      </c>
      <c r="B88" s="394" t="s">
        <v>533</v>
      </c>
      <c r="C88" s="392" t="s">
        <v>5</v>
      </c>
      <c r="D88" s="392" t="s">
        <v>346</v>
      </c>
      <c r="E88" s="95">
        <f>Parameter!$C$98</f>
        <v>20</v>
      </c>
      <c r="F88" s="94" t="s">
        <v>100</v>
      </c>
      <c r="G88" s="97" t="s">
        <v>346</v>
      </c>
      <c r="H88" s="393">
        <v>1</v>
      </c>
      <c r="I88" s="394"/>
      <c r="J88" s="395">
        <f>IFERROR(J$5*J$33-J$87,0)</f>
        <v>0</v>
      </c>
      <c r="K88" s="92">
        <f t="shared" si="41"/>
        <v>0</v>
      </c>
      <c r="L88" s="93">
        <f t="shared" si="135"/>
        <v>0</v>
      </c>
      <c r="M88" s="395">
        <f t="shared" ref="M88" si="141">IFERROR(M$5*M$33-M$87,0)</f>
        <v>0</v>
      </c>
      <c r="N88" s="92">
        <f t="shared" si="109"/>
        <v>0</v>
      </c>
      <c r="O88" s="93">
        <f t="shared" si="28"/>
        <v>0</v>
      </c>
      <c r="P88" s="395">
        <f t="shared" ref="P88" si="142">IFERROR(P$5*P$33-P$87,0)</f>
        <v>0</v>
      </c>
      <c r="Q88" s="92">
        <f t="shared" si="109"/>
        <v>0</v>
      </c>
      <c r="R88" s="93">
        <f t="shared" si="31"/>
        <v>0</v>
      </c>
      <c r="S88" s="395">
        <f t="shared" ref="S88" si="143">IFERROR(S$5*S$33-S$87,0)</f>
        <v>0</v>
      </c>
      <c r="T88" s="92">
        <f t="shared" si="109"/>
        <v>0</v>
      </c>
      <c r="U88" s="93">
        <f t="shared" si="34"/>
        <v>0</v>
      </c>
      <c r="V88" s="395">
        <f t="shared" ref="V88" si="144">IFERROR(V$5*V$33-V$87,0)</f>
        <v>0</v>
      </c>
      <c r="W88" s="92">
        <f t="shared" si="109"/>
        <v>0</v>
      </c>
      <c r="X88" s="93">
        <f t="shared" si="37"/>
        <v>0</v>
      </c>
      <c r="Y88" s="395">
        <f t="shared" ref="Y88" si="145">IFERROR(Y$5*Y$33-Y$87,0)</f>
        <v>0</v>
      </c>
      <c r="Z88" s="92">
        <f t="shared" si="109"/>
        <v>0</v>
      </c>
      <c r="AA88" s="93">
        <f t="shared" si="40"/>
        <v>0</v>
      </c>
      <c r="AB88" s="10"/>
    </row>
    <row r="89" spans="1:28" ht="14.25" customHeight="1">
      <c r="A89" s="579" t="s">
        <v>497</v>
      </c>
      <c r="B89" s="283" t="s">
        <v>534</v>
      </c>
      <c r="C89" s="284" t="s">
        <v>5</v>
      </c>
      <c r="D89" s="396" t="s">
        <v>348</v>
      </c>
      <c r="E89" s="120">
        <f>Parameter!$C$99</f>
        <v>2.5</v>
      </c>
      <c r="F89" s="116" t="s">
        <v>98</v>
      </c>
      <c r="G89" s="286" t="s">
        <v>190</v>
      </c>
      <c r="H89" s="409">
        <f>1/1000</f>
        <v>1E-3</v>
      </c>
      <c r="I89" s="409"/>
      <c r="J89" s="410">
        <f>IFERROR(J$34*J$5*Parameter!$C$45,0)</f>
        <v>0</v>
      </c>
      <c r="K89" s="285">
        <f t="shared" si="41"/>
        <v>0</v>
      </c>
      <c r="L89" s="119">
        <f t="shared" si="135"/>
        <v>0</v>
      </c>
      <c r="M89" s="410">
        <f>IFERROR(M$34*M$5*Parameter!$C$45,0)</f>
        <v>0</v>
      </c>
      <c r="N89" s="285">
        <f t="shared" si="109"/>
        <v>0</v>
      </c>
      <c r="O89" s="119">
        <f t="shared" si="28"/>
        <v>0</v>
      </c>
      <c r="P89" s="410">
        <f>IFERROR(P$34*P$5*Parameter!$C$45,0)</f>
        <v>0</v>
      </c>
      <c r="Q89" s="285">
        <f t="shared" si="109"/>
        <v>0</v>
      </c>
      <c r="R89" s="119">
        <f t="shared" si="31"/>
        <v>0</v>
      </c>
      <c r="S89" s="410">
        <f>IFERROR(S$34*S$5*Parameter!$C$45,0)</f>
        <v>0</v>
      </c>
      <c r="T89" s="285">
        <f t="shared" si="109"/>
        <v>0</v>
      </c>
      <c r="U89" s="119">
        <f t="shared" si="34"/>
        <v>0</v>
      </c>
      <c r="V89" s="410">
        <f>IFERROR(V$34*V$5*Parameter!$C$45,0)</f>
        <v>0</v>
      </c>
      <c r="W89" s="285">
        <f t="shared" si="109"/>
        <v>0</v>
      </c>
      <c r="X89" s="119">
        <f t="shared" si="37"/>
        <v>0</v>
      </c>
      <c r="Y89" s="410">
        <f>IFERROR(Y$34*Y$5*Parameter!$C$45,0)</f>
        <v>0</v>
      </c>
      <c r="Z89" s="285">
        <f t="shared" si="109"/>
        <v>0</v>
      </c>
      <c r="AA89" s="119">
        <f t="shared" si="40"/>
        <v>0</v>
      </c>
      <c r="AB89" s="10"/>
    </row>
    <row r="90" spans="1:28" s="56" customFormat="1" ht="14.25" customHeight="1">
      <c r="A90" s="816" t="s">
        <v>104</v>
      </c>
      <c r="B90" s="533" t="s">
        <v>508</v>
      </c>
      <c r="C90" s="535" t="s">
        <v>5</v>
      </c>
      <c r="D90" s="403" t="s">
        <v>516</v>
      </c>
      <c r="E90" s="534">
        <f>Parameter!$C$100</f>
        <v>5</v>
      </c>
      <c r="F90" s="601"/>
      <c r="G90" s="535" t="s">
        <v>5</v>
      </c>
      <c r="H90" s="598"/>
      <c r="I90" s="533"/>
      <c r="J90" s="536">
        <f>IFERROR(J$53*J36/100,0)</f>
        <v>0</v>
      </c>
      <c r="K90" s="574">
        <f>ROUND($E90*J90,)</f>
        <v>0</v>
      </c>
      <c r="L90" s="595"/>
      <c r="M90" s="536">
        <f t="shared" ref="M90" si="146">IFERROR(M$53*M36/100,0)</f>
        <v>0</v>
      </c>
      <c r="N90" s="574">
        <f t="shared" si="109"/>
        <v>0</v>
      </c>
      <c r="O90" s="575"/>
      <c r="P90" s="536">
        <f t="shared" ref="P90" si="147">IFERROR(P$53*P36/100,0)</f>
        <v>0</v>
      </c>
      <c r="Q90" s="574">
        <f t="shared" si="109"/>
        <v>0</v>
      </c>
      <c r="R90" s="575"/>
      <c r="S90" s="536">
        <f t="shared" ref="S90" si="148">IFERROR(S$53*S36/100,0)</f>
        <v>0</v>
      </c>
      <c r="T90" s="574">
        <f t="shared" si="109"/>
        <v>0</v>
      </c>
      <c r="U90" s="575"/>
      <c r="V90" s="536">
        <f t="shared" ref="V90" si="149">IFERROR(V$53*V36/100,0)</f>
        <v>0</v>
      </c>
      <c r="W90" s="574">
        <f t="shared" si="109"/>
        <v>0</v>
      </c>
      <c r="X90" s="575"/>
      <c r="Y90" s="536">
        <f t="shared" ref="Y90" si="150">IFERROR(Y$53*Y36/100,0)</f>
        <v>0</v>
      </c>
      <c r="Z90" s="574">
        <f t="shared" si="109"/>
        <v>0</v>
      </c>
      <c r="AA90" s="575"/>
      <c r="AB90" s="78"/>
    </row>
    <row r="91" spans="1:28" s="56" customFormat="1" ht="14.25" customHeight="1">
      <c r="A91" s="817" t="s">
        <v>104</v>
      </c>
      <c r="B91" s="537" t="s">
        <v>509</v>
      </c>
      <c r="C91" s="539" t="s">
        <v>5</v>
      </c>
      <c r="D91" s="392" t="s">
        <v>516</v>
      </c>
      <c r="E91" s="538">
        <f>Parameter!$C$101</f>
        <v>-20</v>
      </c>
      <c r="F91" s="602"/>
      <c r="G91" s="604" t="s">
        <v>5</v>
      </c>
      <c r="H91" s="599"/>
      <c r="I91" s="537"/>
      <c r="J91" s="541">
        <f>IFERROR(J$53*J37/100,0)</f>
        <v>0</v>
      </c>
      <c r="K91" s="279">
        <f t="shared" ref="K91:K95" si="151">ROUND($E91*J91,)</f>
        <v>0</v>
      </c>
      <c r="L91" s="596"/>
      <c r="M91" s="541">
        <f t="shared" ref="M91:Y95" si="152">IFERROR(M$53*M37/100,0)</f>
        <v>0</v>
      </c>
      <c r="N91" s="279">
        <f t="shared" si="109"/>
        <v>0</v>
      </c>
      <c r="O91" s="540"/>
      <c r="P91" s="541">
        <f t="shared" ref="P91" si="153">IFERROR(P$53*P37/100,0)</f>
        <v>0</v>
      </c>
      <c r="Q91" s="279">
        <f t="shared" si="109"/>
        <v>0</v>
      </c>
      <c r="R91" s="540"/>
      <c r="S91" s="541">
        <f t="shared" ref="S91" si="154">IFERROR(S$53*S37/100,0)</f>
        <v>0</v>
      </c>
      <c r="T91" s="279">
        <f t="shared" si="109"/>
        <v>0</v>
      </c>
      <c r="U91" s="540"/>
      <c r="V91" s="541">
        <f t="shared" ref="V91" si="155">IFERROR(V$53*V37/100,0)</f>
        <v>0</v>
      </c>
      <c r="W91" s="279">
        <f t="shared" si="109"/>
        <v>0</v>
      </c>
      <c r="X91" s="540"/>
      <c r="Y91" s="541">
        <f t="shared" ref="Y91" si="156">IFERROR(Y$53*Y37/100,0)</f>
        <v>0</v>
      </c>
      <c r="Z91" s="279">
        <f t="shared" si="109"/>
        <v>0</v>
      </c>
      <c r="AA91" s="576"/>
      <c r="AB91" s="78"/>
    </row>
    <row r="92" spans="1:28" s="56" customFormat="1" ht="14.25" customHeight="1">
      <c r="A92" s="817" t="s">
        <v>104</v>
      </c>
      <c r="B92" s="537" t="s">
        <v>510</v>
      </c>
      <c r="C92" s="539" t="s">
        <v>5</v>
      </c>
      <c r="D92" s="392" t="s">
        <v>516</v>
      </c>
      <c r="E92" s="538">
        <f>Parameter!$C$102</f>
        <v>-20</v>
      </c>
      <c r="F92" s="602"/>
      <c r="G92" s="539" t="s">
        <v>5</v>
      </c>
      <c r="H92" s="599"/>
      <c r="I92" s="537"/>
      <c r="J92" s="541">
        <f t="shared" ref="J92:J95" si="157">IFERROR(J$53*J38/100,0)</f>
        <v>0</v>
      </c>
      <c r="K92" s="279">
        <f t="shared" si="151"/>
        <v>0</v>
      </c>
      <c r="L92" s="596"/>
      <c r="M92" s="541">
        <f t="shared" si="152"/>
        <v>0</v>
      </c>
      <c r="N92" s="279">
        <f t="shared" si="109"/>
        <v>0</v>
      </c>
      <c r="O92" s="540"/>
      <c r="P92" s="541">
        <f t="shared" si="152"/>
        <v>0</v>
      </c>
      <c r="Q92" s="279">
        <f t="shared" si="109"/>
        <v>0</v>
      </c>
      <c r="R92" s="540"/>
      <c r="S92" s="541">
        <f t="shared" si="152"/>
        <v>0</v>
      </c>
      <c r="T92" s="279">
        <f t="shared" si="109"/>
        <v>0</v>
      </c>
      <c r="U92" s="540"/>
      <c r="V92" s="541">
        <f t="shared" si="152"/>
        <v>0</v>
      </c>
      <c r="W92" s="279">
        <f t="shared" si="109"/>
        <v>0</v>
      </c>
      <c r="X92" s="540"/>
      <c r="Y92" s="541">
        <f t="shared" si="152"/>
        <v>0</v>
      </c>
      <c r="Z92" s="279">
        <f t="shared" si="109"/>
        <v>0</v>
      </c>
      <c r="AA92" s="576"/>
      <c r="AB92" s="78"/>
    </row>
    <row r="93" spans="1:28" s="56" customFormat="1" ht="14.25" customHeight="1">
      <c r="A93" s="817" t="s">
        <v>104</v>
      </c>
      <c r="B93" s="537" t="s">
        <v>511</v>
      </c>
      <c r="C93" s="539" t="s">
        <v>5</v>
      </c>
      <c r="D93" s="392" t="s">
        <v>516</v>
      </c>
      <c r="E93" s="538">
        <f>Parameter!$C$103</f>
        <v>15</v>
      </c>
      <c r="F93" s="602"/>
      <c r="G93" s="539" t="s">
        <v>5</v>
      </c>
      <c r="H93" s="599"/>
      <c r="I93" s="537"/>
      <c r="J93" s="541">
        <f t="shared" si="157"/>
        <v>0</v>
      </c>
      <c r="K93" s="279">
        <f t="shared" si="151"/>
        <v>0</v>
      </c>
      <c r="L93" s="596"/>
      <c r="M93" s="541">
        <f t="shared" si="152"/>
        <v>0</v>
      </c>
      <c r="N93" s="279">
        <f t="shared" si="109"/>
        <v>0</v>
      </c>
      <c r="O93" s="540"/>
      <c r="P93" s="541">
        <f t="shared" si="152"/>
        <v>0</v>
      </c>
      <c r="Q93" s="279">
        <f t="shared" si="109"/>
        <v>0</v>
      </c>
      <c r="R93" s="540"/>
      <c r="S93" s="541">
        <f t="shared" si="152"/>
        <v>0</v>
      </c>
      <c r="T93" s="279">
        <f t="shared" si="109"/>
        <v>0</v>
      </c>
      <c r="U93" s="540"/>
      <c r="V93" s="541">
        <f t="shared" si="152"/>
        <v>0</v>
      </c>
      <c r="W93" s="279">
        <f t="shared" si="109"/>
        <v>0</v>
      </c>
      <c r="X93" s="540"/>
      <c r="Y93" s="541">
        <f t="shared" si="152"/>
        <v>0</v>
      </c>
      <c r="Z93" s="279">
        <f t="shared" si="109"/>
        <v>0</v>
      </c>
      <c r="AA93" s="576"/>
      <c r="AB93" s="78"/>
    </row>
    <row r="94" spans="1:28" s="56" customFormat="1" ht="14.25" customHeight="1">
      <c r="A94" s="817" t="s">
        <v>104</v>
      </c>
      <c r="B94" s="537" t="s">
        <v>512</v>
      </c>
      <c r="C94" s="539" t="s">
        <v>5</v>
      </c>
      <c r="D94" s="392" t="s">
        <v>516</v>
      </c>
      <c r="E94" s="538">
        <f>Parameter!$C$104</f>
        <v>40</v>
      </c>
      <c r="F94" s="602"/>
      <c r="G94" s="539" t="s">
        <v>5</v>
      </c>
      <c r="H94" s="599"/>
      <c r="I94" s="537"/>
      <c r="J94" s="541">
        <f t="shared" si="157"/>
        <v>0</v>
      </c>
      <c r="K94" s="279">
        <f t="shared" si="151"/>
        <v>0</v>
      </c>
      <c r="L94" s="596"/>
      <c r="M94" s="541">
        <f t="shared" si="152"/>
        <v>0</v>
      </c>
      <c r="N94" s="279">
        <f t="shared" si="109"/>
        <v>0</v>
      </c>
      <c r="O94" s="540"/>
      <c r="P94" s="541">
        <f t="shared" si="152"/>
        <v>0</v>
      </c>
      <c r="Q94" s="279">
        <f t="shared" si="109"/>
        <v>0</v>
      </c>
      <c r="R94" s="540"/>
      <c r="S94" s="541">
        <f t="shared" si="152"/>
        <v>0</v>
      </c>
      <c r="T94" s="279">
        <f t="shared" si="109"/>
        <v>0</v>
      </c>
      <c r="U94" s="540"/>
      <c r="V94" s="541">
        <f t="shared" si="152"/>
        <v>0</v>
      </c>
      <c r="W94" s="279">
        <f t="shared" si="109"/>
        <v>0</v>
      </c>
      <c r="X94" s="540"/>
      <c r="Y94" s="541">
        <f t="shared" si="152"/>
        <v>0</v>
      </c>
      <c r="Z94" s="279">
        <f t="shared" si="109"/>
        <v>0</v>
      </c>
      <c r="AA94" s="576"/>
      <c r="AB94" s="78"/>
    </row>
    <row r="95" spans="1:28" s="56" customFormat="1" ht="14.25" customHeight="1">
      <c r="A95" s="818" t="s">
        <v>104</v>
      </c>
      <c r="B95" s="542" t="s">
        <v>513</v>
      </c>
      <c r="C95" s="544" t="s">
        <v>5</v>
      </c>
      <c r="D95" s="211" t="s">
        <v>526</v>
      </c>
      <c r="E95" s="543">
        <f>Parameter!$C$105</f>
        <v>60</v>
      </c>
      <c r="F95" s="603"/>
      <c r="G95" s="544" t="s">
        <v>5</v>
      </c>
      <c r="H95" s="600"/>
      <c r="I95" s="542"/>
      <c r="J95" s="553">
        <f t="shared" si="157"/>
        <v>0</v>
      </c>
      <c r="K95" s="577">
        <f t="shared" si="151"/>
        <v>0</v>
      </c>
      <c r="L95" s="597"/>
      <c r="M95" s="553">
        <f t="shared" si="152"/>
        <v>0</v>
      </c>
      <c r="N95" s="577">
        <f t="shared" si="109"/>
        <v>0</v>
      </c>
      <c r="O95" s="545"/>
      <c r="P95" s="553">
        <f t="shared" si="152"/>
        <v>0</v>
      </c>
      <c r="Q95" s="577">
        <f t="shared" si="109"/>
        <v>0</v>
      </c>
      <c r="R95" s="545"/>
      <c r="S95" s="553">
        <f t="shared" si="152"/>
        <v>0</v>
      </c>
      <c r="T95" s="577">
        <f t="shared" si="109"/>
        <v>0</v>
      </c>
      <c r="U95" s="545"/>
      <c r="V95" s="553">
        <f t="shared" si="152"/>
        <v>0</v>
      </c>
      <c r="W95" s="577">
        <f t="shared" si="109"/>
        <v>0</v>
      </c>
      <c r="X95" s="545"/>
      <c r="Y95" s="553">
        <f t="shared" si="152"/>
        <v>0</v>
      </c>
      <c r="Z95" s="577">
        <f t="shared" si="109"/>
        <v>0</v>
      </c>
      <c r="AA95" s="578"/>
      <c r="AB95" s="78"/>
    </row>
    <row r="96" spans="1:28" ht="14.25" customHeight="1">
      <c r="L96" s="271"/>
      <c r="M96" s="820"/>
      <c r="N96" s="271"/>
      <c r="O96" s="820"/>
      <c r="P96" s="271"/>
      <c r="Q96" s="820"/>
      <c r="R96" s="271"/>
      <c r="S96" s="820"/>
      <c r="T96" s="271"/>
      <c r="U96" s="820"/>
      <c r="V96" s="271"/>
    </row>
    <row r="97" spans="3:22" ht="14.25" customHeight="1">
      <c r="C97" s="79"/>
      <c r="D97" s="79"/>
      <c r="E97" s="79"/>
      <c r="F97" s="80"/>
      <c r="G97" s="821"/>
      <c r="H97" s="822"/>
      <c r="I97" s="79"/>
      <c r="J97" s="79"/>
      <c r="K97" s="79"/>
      <c r="L97" s="821"/>
      <c r="M97" s="820"/>
      <c r="N97" s="271"/>
      <c r="O97" s="820"/>
      <c r="P97" s="271"/>
      <c r="Q97" s="820"/>
      <c r="R97" s="271"/>
      <c r="S97" s="820"/>
      <c r="T97" s="271"/>
      <c r="U97" s="820"/>
      <c r="V97" s="271"/>
    </row>
    <row r="98" spans="3:22" ht="14.25" customHeight="1">
      <c r="C98" s="79"/>
      <c r="D98" s="79"/>
      <c r="E98" s="79"/>
      <c r="F98" s="80"/>
      <c r="G98" s="821"/>
      <c r="H98" s="822"/>
      <c r="I98" s="79"/>
      <c r="J98" s="79"/>
      <c r="K98" s="79"/>
      <c r="L98" s="821"/>
      <c r="M98" s="820"/>
      <c r="N98" s="271"/>
      <c r="O98" s="820"/>
      <c r="P98" s="271"/>
      <c r="Q98" s="820"/>
      <c r="R98" s="271"/>
      <c r="S98" s="820"/>
      <c r="T98" s="271"/>
      <c r="U98" s="820"/>
      <c r="V98" s="271"/>
    </row>
    <row r="99" spans="3:22" ht="14.25" customHeight="1">
      <c r="C99" s="79"/>
      <c r="D99" s="79"/>
      <c r="E99" s="79"/>
      <c r="F99" s="80"/>
      <c r="G99" s="821"/>
      <c r="H99" s="822"/>
      <c r="I99" s="823"/>
      <c r="J99" s="79"/>
      <c r="K99" s="79"/>
      <c r="L99" s="824"/>
      <c r="M99" s="820"/>
      <c r="N99" s="271"/>
      <c r="O99" s="820"/>
      <c r="P99" s="271"/>
      <c r="Q99" s="820"/>
      <c r="R99" s="271"/>
      <c r="S99" s="820"/>
      <c r="T99" s="271"/>
      <c r="U99" s="820"/>
      <c r="V99" s="271"/>
    </row>
    <row r="100" spans="3:22" ht="14.25" customHeight="1">
      <c r="C100" s="79"/>
      <c r="D100" s="79"/>
      <c r="E100" s="79"/>
      <c r="F100" s="80"/>
      <c r="G100" s="821"/>
      <c r="H100" s="822"/>
      <c r="I100" s="823"/>
      <c r="J100" s="79"/>
      <c r="K100" s="79"/>
      <c r="L100" s="824"/>
      <c r="M100" s="820"/>
      <c r="N100" s="271"/>
      <c r="O100" s="820"/>
      <c r="P100" s="271"/>
      <c r="Q100" s="820"/>
      <c r="R100" s="271"/>
      <c r="S100" s="820"/>
      <c r="T100" s="271"/>
      <c r="U100" s="820"/>
      <c r="V100" s="271"/>
    </row>
    <row r="101" spans="3:22" ht="14.25" customHeight="1">
      <c r="C101" s="79"/>
      <c r="D101" s="79"/>
      <c r="E101" s="79"/>
      <c r="F101" s="80"/>
      <c r="G101" s="821"/>
      <c r="H101" s="822"/>
      <c r="I101" s="823"/>
      <c r="J101" s="79"/>
      <c r="K101" s="79"/>
      <c r="L101" s="824"/>
      <c r="M101" s="820"/>
      <c r="N101" s="271"/>
      <c r="O101" s="820"/>
      <c r="P101" s="271"/>
      <c r="Q101" s="820"/>
      <c r="R101" s="271"/>
      <c r="S101" s="820"/>
      <c r="T101" s="271"/>
      <c r="U101" s="820"/>
      <c r="V101" s="271"/>
    </row>
    <row r="102" spans="3:22" ht="14.25" customHeight="1">
      <c r="C102" s="79"/>
      <c r="D102" s="79"/>
      <c r="E102" s="79"/>
      <c r="F102" s="80"/>
      <c r="G102" s="821"/>
      <c r="H102" s="822"/>
      <c r="I102" s="823"/>
      <c r="J102" s="79"/>
      <c r="K102" s="79"/>
      <c r="L102" s="824"/>
      <c r="M102" s="820"/>
      <c r="N102" s="271"/>
      <c r="O102" s="820"/>
      <c r="P102" s="271"/>
      <c r="Q102" s="820"/>
      <c r="R102" s="271"/>
      <c r="S102" s="820"/>
      <c r="T102" s="271"/>
      <c r="U102" s="820"/>
      <c r="V102" s="271"/>
    </row>
    <row r="103" spans="3:22" ht="14.25" customHeight="1">
      <c r="C103" s="79"/>
      <c r="D103" s="79"/>
      <c r="E103" s="79"/>
      <c r="F103" s="80"/>
      <c r="G103" s="821"/>
      <c r="H103" s="822"/>
      <c r="I103" s="823"/>
      <c r="J103" s="79"/>
      <c r="K103" s="79"/>
      <c r="L103" s="824"/>
      <c r="M103" s="820"/>
      <c r="N103" s="271"/>
      <c r="O103" s="820"/>
      <c r="P103" s="271"/>
      <c r="Q103" s="820"/>
      <c r="R103" s="271"/>
      <c r="S103" s="820"/>
      <c r="T103" s="271"/>
      <c r="U103" s="820"/>
      <c r="V103" s="271"/>
    </row>
    <row r="104" spans="3:22" ht="14.25" customHeight="1">
      <c r="C104" s="79"/>
      <c r="D104" s="79"/>
      <c r="E104" s="79"/>
      <c r="F104" s="80"/>
      <c r="G104" s="821"/>
      <c r="H104" s="822"/>
      <c r="I104" s="79"/>
      <c r="J104" s="79"/>
      <c r="K104" s="79"/>
      <c r="L104" s="821"/>
      <c r="M104" s="820"/>
      <c r="N104" s="271"/>
      <c r="O104" s="820"/>
      <c r="P104" s="271"/>
      <c r="Q104" s="820"/>
      <c r="R104" s="271"/>
      <c r="S104" s="820"/>
      <c r="T104" s="271"/>
      <c r="U104" s="820"/>
      <c r="V104" s="271"/>
    </row>
    <row r="105" spans="3:22" ht="14.25" customHeight="1">
      <c r="C105" s="79"/>
      <c r="D105" s="79"/>
      <c r="E105" s="79"/>
      <c r="F105" s="80"/>
      <c r="G105" s="821"/>
      <c r="H105" s="822"/>
      <c r="I105" s="79"/>
      <c r="J105" s="79"/>
      <c r="K105" s="79"/>
      <c r="L105" s="821"/>
      <c r="M105" s="820"/>
      <c r="N105" s="271"/>
      <c r="O105" s="820"/>
      <c r="P105" s="271"/>
      <c r="Q105" s="820"/>
      <c r="R105" s="271"/>
      <c r="S105" s="820"/>
      <c r="T105" s="271"/>
      <c r="U105" s="820"/>
      <c r="V105" s="271"/>
    </row>
    <row r="106" spans="3:22" ht="14.25" customHeight="1">
      <c r="C106" s="79"/>
      <c r="D106" s="79"/>
      <c r="E106" s="79"/>
      <c r="F106" s="80"/>
      <c r="G106" s="821"/>
      <c r="H106" s="822"/>
      <c r="I106" s="79"/>
      <c r="J106" s="79"/>
      <c r="K106" s="79"/>
      <c r="L106" s="821"/>
      <c r="M106" s="820"/>
      <c r="N106" s="271"/>
      <c r="O106" s="820"/>
      <c r="P106" s="271"/>
      <c r="Q106" s="820"/>
      <c r="R106" s="271"/>
      <c r="S106" s="820"/>
      <c r="T106" s="271"/>
      <c r="U106" s="820"/>
      <c r="V106" s="271"/>
    </row>
    <row r="107" spans="3:22" ht="14.25" customHeight="1">
      <c r="C107" s="79"/>
      <c r="D107" s="79"/>
      <c r="E107" s="79"/>
      <c r="F107" s="80"/>
      <c r="G107" s="821"/>
      <c r="H107" s="822"/>
      <c r="I107" s="79"/>
      <c r="J107" s="79"/>
      <c r="K107" s="79"/>
      <c r="L107" s="821"/>
      <c r="M107" s="820"/>
      <c r="N107" s="271"/>
      <c r="O107" s="820"/>
      <c r="P107" s="271"/>
      <c r="Q107" s="820"/>
      <c r="R107" s="271"/>
      <c r="S107" s="820"/>
      <c r="T107" s="271"/>
      <c r="U107" s="820"/>
      <c r="V107" s="271"/>
    </row>
    <row r="108" spans="3:22" ht="14.25" customHeight="1">
      <c r="C108" s="79"/>
      <c r="D108" s="79"/>
      <c r="E108" s="79"/>
      <c r="F108" s="80"/>
      <c r="G108" s="821"/>
      <c r="H108" s="822"/>
      <c r="I108" s="79"/>
      <c r="J108" s="79"/>
      <c r="K108" s="79"/>
      <c r="L108" s="821"/>
      <c r="M108" s="820"/>
      <c r="N108" s="271"/>
      <c r="O108" s="820"/>
      <c r="P108" s="271"/>
      <c r="Q108" s="820"/>
      <c r="R108" s="271"/>
      <c r="S108" s="820"/>
      <c r="T108" s="271"/>
      <c r="U108" s="820"/>
      <c r="V108" s="271"/>
    </row>
    <row r="109" spans="3:22" ht="14.25" customHeight="1">
      <c r="C109" s="79"/>
      <c r="D109" s="79"/>
      <c r="E109" s="79"/>
      <c r="F109" s="80"/>
      <c r="G109" s="821"/>
      <c r="H109" s="822"/>
      <c r="I109" s="79"/>
      <c r="J109" s="79"/>
      <c r="K109" s="79"/>
      <c r="L109" s="821"/>
      <c r="M109" s="820"/>
      <c r="N109" s="271"/>
      <c r="O109" s="820"/>
      <c r="P109" s="271"/>
      <c r="Q109" s="820"/>
      <c r="R109" s="271"/>
      <c r="S109" s="820"/>
      <c r="T109" s="271"/>
      <c r="U109" s="820"/>
      <c r="V109" s="271"/>
    </row>
    <row r="110" spans="3:22" ht="14.25" customHeight="1">
      <c r="C110" s="79"/>
      <c r="D110" s="79"/>
      <c r="E110" s="79"/>
      <c r="F110" s="80"/>
      <c r="G110" s="821"/>
      <c r="H110" s="822"/>
      <c r="I110" s="79"/>
      <c r="J110" s="79"/>
      <c r="K110" s="79"/>
      <c r="L110" s="821"/>
      <c r="M110" s="820"/>
      <c r="N110" s="271"/>
      <c r="O110" s="820"/>
      <c r="P110" s="271"/>
      <c r="Q110" s="820"/>
      <c r="R110" s="271"/>
      <c r="S110" s="820"/>
      <c r="T110" s="271"/>
      <c r="U110" s="820"/>
      <c r="V110" s="271"/>
    </row>
    <row r="111" spans="3:22" ht="14.25" customHeight="1">
      <c r="C111" s="79"/>
      <c r="D111" s="79"/>
      <c r="E111" s="79"/>
      <c r="F111" s="80"/>
      <c r="G111" s="821"/>
      <c r="H111" s="822"/>
      <c r="I111" s="79"/>
      <c r="J111" s="79"/>
      <c r="K111" s="79"/>
      <c r="L111" s="821"/>
      <c r="M111" s="820"/>
      <c r="N111" s="271"/>
      <c r="O111" s="820"/>
      <c r="P111" s="271"/>
      <c r="Q111" s="820"/>
      <c r="R111" s="271"/>
      <c r="S111" s="820"/>
      <c r="T111" s="271"/>
      <c r="U111" s="820"/>
      <c r="V111" s="271"/>
    </row>
    <row r="112" spans="3:22" ht="14.25" customHeight="1">
      <c r="C112" s="79"/>
      <c r="D112" s="79"/>
      <c r="E112" s="79"/>
      <c r="F112" s="80"/>
      <c r="G112" s="821"/>
      <c r="H112" s="822"/>
      <c r="I112" s="79"/>
      <c r="J112" s="79"/>
      <c r="K112" s="79"/>
      <c r="L112" s="821"/>
      <c r="M112" s="820"/>
      <c r="N112" s="271"/>
      <c r="O112" s="820"/>
      <c r="P112" s="271"/>
      <c r="Q112" s="820"/>
      <c r="R112" s="271"/>
      <c r="S112" s="820"/>
      <c r="T112" s="271"/>
      <c r="U112" s="820"/>
      <c r="V112" s="271"/>
    </row>
    <row r="113" spans="3:22" ht="14.25" customHeight="1">
      <c r="C113" s="79"/>
      <c r="D113" s="79"/>
      <c r="E113" s="79"/>
      <c r="F113" s="80"/>
      <c r="G113" s="821"/>
      <c r="H113" s="822"/>
      <c r="I113" s="79"/>
      <c r="J113" s="79"/>
      <c r="K113" s="79"/>
      <c r="L113" s="821"/>
      <c r="M113" s="820"/>
      <c r="N113" s="271"/>
      <c r="O113" s="820"/>
      <c r="P113" s="271"/>
      <c r="Q113" s="820"/>
      <c r="R113" s="271"/>
      <c r="S113" s="820"/>
      <c r="T113" s="271"/>
      <c r="U113" s="820"/>
      <c r="V113" s="271"/>
    </row>
    <row r="114" spans="3:22" ht="14.25" customHeight="1">
      <c r="C114" s="79"/>
      <c r="D114" s="79"/>
      <c r="E114" s="79"/>
      <c r="F114" s="80"/>
      <c r="G114" s="821"/>
      <c r="H114" s="822"/>
      <c r="I114" s="79"/>
      <c r="J114" s="79"/>
      <c r="K114" s="79"/>
      <c r="L114" s="821"/>
      <c r="M114" s="820"/>
      <c r="N114" s="271"/>
      <c r="O114" s="820"/>
      <c r="P114" s="271"/>
      <c r="Q114" s="820"/>
      <c r="R114" s="271"/>
      <c r="S114" s="820"/>
      <c r="T114" s="271"/>
      <c r="U114" s="820"/>
      <c r="V114" s="271"/>
    </row>
    <row r="115" spans="3:22" ht="14.25" customHeight="1">
      <c r="C115" s="79"/>
      <c r="D115" s="79"/>
      <c r="E115" s="79"/>
      <c r="F115" s="80"/>
      <c r="G115" s="821"/>
      <c r="H115" s="822"/>
      <c r="I115" s="79"/>
      <c r="J115" s="79"/>
      <c r="K115" s="79"/>
      <c r="L115" s="821"/>
      <c r="M115" s="820"/>
      <c r="N115" s="271"/>
      <c r="O115" s="820"/>
      <c r="P115" s="271"/>
      <c r="Q115" s="820"/>
      <c r="R115" s="271"/>
      <c r="S115" s="820"/>
      <c r="T115" s="271"/>
      <c r="U115" s="820"/>
      <c r="V115" s="271"/>
    </row>
    <row r="116" spans="3:22" ht="14.25" customHeight="1">
      <c r="E116" s="50"/>
      <c r="F116" s="50"/>
      <c r="G116" s="819"/>
      <c r="K116" s="820"/>
      <c r="L116" s="271"/>
      <c r="M116" s="820"/>
      <c r="N116" s="271"/>
      <c r="O116" s="820"/>
      <c r="P116" s="271"/>
      <c r="Q116" s="820"/>
      <c r="R116" s="271"/>
      <c r="S116" s="820"/>
      <c r="T116" s="271"/>
      <c r="U116" s="820"/>
      <c r="V116" s="271"/>
    </row>
    <row r="117" spans="3:22" ht="14.25" customHeight="1">
      <c r="E117" s="50"/>
      <c r="F117" s="50"/>
      <c r="G117" s="819"/>
      <c r="K117" s="820"/>
      <c r="L117" s="271"/>
      <c r="M117" s="820"/>
      <c r="N117" s="271"/>
      <c r="O117" s="820"/>
      <c r="P117" s="271"/>
      <c r="Q117" s="820"/>
      <c r="R117" s="271"/>
      <c r="S117" s="820"/>
      <c r="T117" s="271"/>
      <c r="U117" s="820"/>
      <c r="V117" s="271"/>
    </row>
    <row r="118" spans="3:22" ht="14.25" customHeight="1">
      <c r="E118" s="50"/>
      <c r="F118" s="50"/>
      <c r="G118" s="819"/>
      <c r="K118" s="820"/>
      <c r="L118" s="271"/>
      <c r="M118" s="820"/>
      <c r="N118" s="271"/>
      <c r="O118" s="820"/>
      <c r="P118" s="271"/>
      <c r="Q118" s="820"/>
      <c r="R118" s="271"/>
      <c r="S118" s="820"/>
      <c r="T118" s="271"/>
      <c r="U118" s="820"/>
      <c r="V118" s="271"/>
    </row>
    <row r="119" spans="3:22" ht="14.25" customHeight="1">
      <c r="E119" s="50"/>
      <c r="F119" s="50"/>
      <c r="G119" s="819"/>
      <c r="K119" s="820"/>
      <c r="L119" s="271"/>
      <c r="M119" s="820"/>
      <c r="N119" s="271"/>
      <c r="O119" s="820"/>
      <c r="P119" s="271"/>
      <c r="Q119" s="820"/>
      <c r="R119" s="271"/>
      <c r="S119" s="820"/>
      <c r="T119" s="271"/>
      <c r="U119" s="820"/>
      <c r="V119" s="271"/>
    </row>
    <row r="120" spans="3:22" ht="14.25" customHeight="1">
      <c r="E120" s="50"/>
      <c r="F120" s="50"/>
      <c r="G120" s="819"/>
      <c r="K120" s="820"/>
      <c r="L120" s="271"/>
      <c r="M120" s="820"/>
      <c r="N120" s="271"/>
      <c r="O120" s="820"/>
      <c r="P120" s="271"/>
      <c r="Q120" s="820"/>
      <c r="R120" s="271"/>
      <c r="S120" s="820"/>
      <c r="T120" s="271"/>
      <c r="U120" s="820"/>
      <c r="V120" s="271"/>
    </row>
    <row r="121" spans="3:22" ht="14.25" customHeight="1">
      <c r="E121" s="50"/>
      <c r="F121" s="50"/>
      <c r="G121" s="819"/>
      <c r="K121" s="820"/>
      <c r="L121" s="271"/>
      <c r="M121" s="820"/>
      <c r="N121" s="271"/>
      <c r="O121" s="820"/>
      <c r="P121" s="271"/>
      <c r="Q121" s="820"/>
      <c r="R121" s="271"/>
      <c r="S121" s="820"/>
      <c r="T121" s="271"/>
      <c r="U121" s="820"/>
      <c r="V121" s="271"/>
    </row>
    <row r="122" spans="3:22" ht="14.25" customHeight="1">
      <c r="E122" s="50"/>
      <c r="F122" s="50"/>
      <c r="G122" s="819"/>
      <c r="K122" s="820"/>
      <c r="L122" s="271"/>
      <c r="M122" s="820"/>
      <c r="N122" s="271"/>
      <c r="O122" s="820"/>
      <c r="P122" s="271"/>
      <c r="Q122" s="820"/>
      <c r="R122" s="271"/>
      <c r="S122" s="820"/>
      <c r="T122" s="271"/>
      <c r="U122" s="820"/>
      <c r="V122" s="271"/>
    </row>
    <row r="123" spans="3:22" ht="14.25" customHeight="1">
      <c r="E123" s="50"/>
      <c r="F123" s="50"/>
      <c r="G123" s="819"/>
      <c r="K123" s="820"/>
      <c r="L123" s="271"/>
      <c r="M123" s="820"/>
      <c r="N123" s="271"/>
      <c r="O123" s="820"/>
      <c r="P123" s="271"/>
      <c r="Q123" s="820"/>
      <c r="R123" s="271"/>
      <c r="S123" s="820"/>
      <c r="T123" s="271"/>
      <c r="U123" s="820"/>
      <c r="V123" s="271"/>
    </row>
    <row r="124" spans="3:22" ht="14.25" customHeight="1">
      <c r="E124" s="50"/>
      <c r="F124" s="50"/>
      <c r="G124" s="819"/>
      <c r="K124" s="820"/>
      <c r="L124" s="271"/>
      <c r="M124" s="820"/>
      <c r="N124" s="271"/>
      <c r="O124" s="820"/>
      <c r="P124" s="271"/>
      <c r="Q124" s="820"/>
      <c r="R124" s="271"/>
      <c r="S124" s="820"/>
      <c r="T124" s="271"/>
      <c r="U124" s="820"/>
      <c r="V124" s="271"/>
    </row>
    <row r="125" spans="3:22" ht="14.25" customHeight="1">
      <c r="E125" s="50"/>
      <c r="F125" s="50"/>
      <c r="G125" s="819"/>
      <c r="K125" s="820"/>
      <c r="L125" s="271"/>
      <c r="M125" s="820"/>
      <c r="N125" s="271"/>
      <c r="O125" s="820"/>
      <c r="P125" s="271"/>
      <c r="Q125" s="820"/>
      <c r="R125" s="271"/>
      <c r="S125" s="820"/>
      <c r="T125" s="271"/>
      <c r="U125" s="820"/>
      <c r="V125" s="271"/>
    </row>
    <row r="126" spans="3:22" ht="14.25" customHeight="1">
      <c r="E126" s="50"/>
      <c r="F126" s="50"/>
      <c r="G126" s="819"/>
      <c r="K126" s="820"/>
      <c r="L126" s="271"/>
      <c r="M126" s="820"/>
      <c r="N126" s="271"/>
      <c r="O126" s="820"/>
      <c r="P126" s="271"/>
      <c r="Q126" s="820"/>
      <c r="R126" s="271"/>
      <c r="S126" s="820"/>
      <c r="T126" s="271"/>
      <c r="U126" s="820"/>
      <c r="V126" s="271"/>
    </row>
    <row r="127" spans="3:22" ht="14.25" customHeight="1">
      <c r="E127" s="50"/>
      <c r="F127" s="50"/>
      <c r="G127" s="819"/>
      <c r="K127" s="820"/>
      <c r="L127" s="271"/>
      <c r="M127" s="820"/>
      <c r="N127" s="271"/>
      <c r="O127" s="820"/>
      <c r="P127" s="271"/>
      <c r="Q127" s="820"/>
      <c r="R127" s="271"/>
      <c r="S127" s="820"/>
      <c r="T127" s="271"/>
      <c r="U127" s="820"/>
      <c r="V127" s="271"/>
    </row>
    <row r="128" spans="3:22" ht="14.25" customHeight="1">
      <c r="E128" s="50"/>
      <c r="F128" s="50"/>
      <c r="G128" s="819"/>
      <c r="K128" s="820"/>
      <c r="L128" s="271"/>
      <c r="M128" s="820"/>
      <c r="N128" s="271"/>
      <c r="O128" s="820"/>
      <c r="P128" s="271"/>
      <c r="Q128" s="820"/>
      <c r="R128" s="271"/>
      <c r="S128" s="820"/>
      <c r="T128" s="271"/>
      <c r="U128" s="820"/>
      <c r="V128" s="271"/>
    </row>
    <row r="129" spans="5:22" ht="14.25" customHeight="1">
      <c r="E129" s="50"/>
      <c r="F129" s="50"/>
      <c r="G129" s="819"/>
      <c r="K129" s="820"/>
      <c r="L129" s="271"/>
      <c r="M129" s="820"/>
      <c r="N129" s="271"/>
      <c r="O129" s="820"/>
      <c r="P129" s="271"/>
      <c r="Q129" s="820"/>
      <c r="R129" s="271"/>
      <c r="S129" s="820"/>
      <c r="T129" s="271"/>
      <c r="U129" s="820"/>
      <c r="V129" s="271"/>
    </row>
    <row r="130" spans="5:22" ht="14.25" customHeight="1">
      <c r="E130" s="50"/>
      <c r="F130" s="50"/>
      <c r="G130" s="819"/>
      <c r="K130" s="820"/>
      <c r="L130" s="271"/>
      <c r="M130" s="820"/>
      <c r="N130" s="271"/>
      <c r="O130" s="820"/>
      <c r="P130" s="271"/>
      <c r="Q130" s="820"/>
      <c r="R130" s="271"/>
      <c r="S130" s="820"/>
      <c r="T130" s="271"/>
      <c r="U130" s="820"/>
      <c r="V130" s="271"/>
    </row>
    <row r="131" spans="5:22" ht="14.25" customHeight="1">
      <c r="E131" s="50"/>
      <c r="F131" s="50"/>
      <c r="G131" s="819"/>
      <c r="K131" s="820"/>
      <c r="L131" s="271"/>
      <c r="M131" s="820"/>
      <c r="N131" s="271"/>
      <c r="O131" s="820"/>
      <c r="P131" s="271"/>
      <c r="Q131" s="820"/>
      <c r="R131" s="271"/>
      <c r="S131" s="820"/>
      <c r="T131" s="271"/>
      <c r="U131" s="820"/>
      <c r="V131" s="271"/>
    </row>
    <row r="132" spans="5:22" ht="14.25" customHeight="1">
      <c r="E132" s="50"/>
      <c r="F132" s="50"/>
      <c r="G132" s="819"/>
      <c r="K132" s="820"/>
      <c r="L132" s="271"/>
      <c r="M132" s="820"/>
      <c r="N132" s="271"/>
      <c r="O132" s="820"/>
      <c r="P132" s="271"/>
      <c r="Q132" s="820"/>
      <c r="R132" s="271"/>
      <c r="S132" s="820"/>
      <c r="T132" s="271"/>
      <c r="U132" s="820"/>
      <c r="V132" s="271"/>
    </row>
    <row r="133" spans="5:22" ht="14.25" customHeight="1">
      <c r="E133" s="50"/>
      <c r="F133" s="50"/>
      <c r="G133" s="819"/>
      <c r="K133" s="820"/>
      <c r="L133" s="271"/>
      <c r="M133" s="820"/>
      <c r="N133" s="271"/>
      <c r="O133" s="820"/>
      <c r="P133" s="271"/>
      <c r="Q133" s="820"/>
      <c r="R133" s="271"/>
      <c r="S133" s="820"/>
      <c r="T133" s="271"/>
      <c r="U133" s="820"/>
      <c r="V133" s="271"/>
    </row>
    <row r="134" spans="5:22" ht="14.25" customHeight="1">
      <c r="E134" s="50"/>
      <c r="F134" s="50"/>
      <c r="G134" s="819"/>
      <c r="K134" s="820"/>
      <c r="L134" s="271"/>
      <c r="M134" s="820"/>
      <c r="N134" s="271"/>
      <c r="O134" s="820"/>
      <c r="P134" s="271"/>
      <c r="Q134" s="820"/>
      <c r="R134" s="271"/>
      <c r="S134" s="820"/>
      <c r="T134" s="271"/>
      <c r="U134" s="820"/>
      <c r="V134" s="271"/>
    </row>
    <row r="135" spans="5:22" ht="14.25" customHeight="1">
      <c r="E135" s="50"/>
      <c r="F135" s="50"/>
      <c r="G135" s="819"/>
      <c r="K135" s="820"/>
      <c r="L135" s="271"/>
      <c r="M135" s="820"/>
      <c r="N135" s="271"/>
      <c r="O135" s="820"/>
      <c r="P135" s="271"/>
      <c r="Q135" s="820"/>
      <c r="R135" s="271"/>
      <c r="S135" s="820"/>
      <c r="T135" s="271"/>
      <c r="U135" s="820"/>
      <c r="V135" s="271"/>
    </row>
    <row r="136" spans="5:22" ht="14.25" customHeight="1">
      <c r="E136" s="50"/>
      <c r="F136" s="50"/>
      <c r="G136" s="819"/>
      <c r="K136" s="820"/>
      <c r="L136" s="271"/>
      <c r="M136" s="820"/>
      <c r="N136" s="271"/>
      <c r="O136" s="820"/>
      <c r="P136" s="271"/>
      <c r="Q136" s="820"/>
      <c r="R136" s="271"/>
      <c r="S136" s="820"/>
      <c r="T136" s="271"/>
      <c r="U136" s="820"/>
      <c r="V136" s="271"/>
    </row>
    <row r="137" spans="5:22" ht="14.25" customHeight="1">
      <c r="E137" s="50"/>
      <c r="F137" s="50"/>
      <c r="G137" s="819"/>
      <c r="K137" s="820"/>
      <c r="L137" s="271"/>
      <c r="M137" s="820"/>
      <c r="N137" s="271"/>
      <c r="O137" s="820"/>
      <c r="P137" s="271"/>
      <c r="Q137" s="820"/>
      <c r="R137" s="271"/>
      <c r="S137" s="820"/>
      <c r="T137" s="271"/>
      <c r="U137" s="820"/>
      <c r="V137" s="271"/>
    </row>
    <row r="138" spans="5:22" ht="14.25" customHeight="1">
      <c r="E138" s="50"/>
      <c r="F138" s="50"/>
      <c r="G138" s="819"/>
      <c r="K138" s="820"/>
      <c r="L138" s="271"/>
      <c r="M138" s="820"/>
      <c r="N138" s="271"/>
      <c r="O138" s="820"/>
      <c r="P138" s="271"/>
      <c r="Q138" s="820"/>
      <c r="R138" s="271"/>
      <c r="S138" s="820"/>
      <c r="T138" s="271"/>
      <c r="U138" s="820"/>
      <c r="V138" s="271"/>
    </row>
    <row r="139" spans="5:22" ht="14.25" customHeight="1">
      <c r="E139" s="50"/>
      <c r="F139" s="50"/>
      <c r="G139" s="819"/>
      <c r="K139" s="820"/>
      <c r="L139" s="271"/>
      <c r="M139" s="820"/>
      <c r="N139" s="271"/>
      <c r="O139" s="820"/>
      <c r="P139" s="271"/>
      <c r="Q139" s="820"/>
      <c r="R139" s="271"/>
      <c r="S139" s="820"/>
      <c r="T139" s="271"/>
      <c r="U139" s="820"/>
      <c r="V139" s="271"/>
    </row>
    <row r="140" spans="5:22" ht="14.25" customHeight="1">
      <c r="E140" s="50"/>
      <c r="F140" s="50"/>
      <c r="G140" s="819"/>
      <c r="K140" s="820"/>
      <c r="L140" s="271"/>
      <c r="M140" s="820"/>
      <c r="N140" s="271"/>
      <c r="O140" s="820"/>
      <c r="P140" s="271"/>
      <c r="Q140" s="820"/>
      <c r="R140" s="271"/>
      <c r="S140" s="820"/>
      <c r="T140" s="271"/>
      <c r="U140" s="820"/>
      <c r="V140" s="271"/>
    </row>
    <row r="141" spans="5:22" ht="14.25" customHeight="1">
      <c r="E141" s="50"/>
      <c r="F141" s="50"/>
      <c r="G141" s="819"/>
      <c r="K141" s="820"/>
      <c r="L141" s="271"/>
      <c r="M141" s="820"/>
      <c r="N141" s="271"/>
      <c r="O141" s="820"/>
      <c r="P141" s="271"/>
      <c r="Q141" s="820"/>
      <c r="R141" s="271"/>
      <c r="S141" s="820"/>
      <c r="T141" s="271"/>
      <c r="U141" s="820"/>
      <c r="V141" s="271"/>
    </row>
    <row r="142" spans="5:22" ht="14.25" customHeight="1">
      <c r="E142" s="50"/>
      <c r="F142" s="50"/>
      <c r="G142" s="819"/>
      <c r="K142" s="820"/>
      <c r="L142" s="271"/>
      <c r="M142" s="820"/>
      <c r="N142" s="271"/>
      <c r="O142" s="820"/>
      <c r="P142" s="271"/>
      <c r="Q142" s="820"/>
      <c r="R142" s="271"/>
      <c r="S142" s="820"/>
      <c r="T142" s="271"/>
      <c r="U142" s="820"/>
      <c r="V142" s="271"/>
    </row>
    <row r="143" spans="5:22" ht="14.25" customHeight="1">
      <c r="E143" s="50"/>
      <c r="F143" s="50"/>
      <c r="G143" s="819"/>
      <c r="K143" s="820"/>
      <c r="L143" s="271"/>
      <c r="M143" s="820"/>
      <c r="N143" s="271"/>
      <c r="O143" s="820"/>
      <c r="P143" s="271"/>
      <c r="Q143" s="820"/>
      <c r="R143" s="271"/>
      <c r="S143" s="820"/>
      <c r="T143" s="271"/>
      <c r="U143" s="820"/>
      <c r="V143" s="271"/>
    </row>
    <row r="144" spans="5:22" ht="14.25" customHeight="1">
      <c r="E144" s="50"/>
      <c r="F144" s="50"/>
      <c r="G144" s="819"/>
      <c r="K144" s="820"/>
      <c r="L144" s="271"/>
      <c r="M144" s="820"/>
      <c r="N144" s="271"/>
      <c r="O144" s="820"/>
      <c r="P144" s="271"/>
      <c r="Q144" s="820"/>
      <c r="R144" s="271"/>
      <c r="S144" s="820"/>
      <c r="T144" s="271"/>
      <c r="U144" s="820"/>
      <c r="V144" s="271"/>
    </row>
    <row r="145" spans="5:22" ht="14.25" customHeight="1">
      <c r="E145" s="50"/>
      <c r="F145" s="50"/>
      <c r="G145" s="819"/>
      <c r="K145" s="820"/>
      <c r="L145" s="271"/>
      <c r="M145" s="820"/>
      <c r="N145" s="271"/>
      <c r="O145" s="820"/>
      <c r="P145" s="271"/>
      <c r="Q145" s="820"/>
      <c r="R145" s="271"/>
      <c r="S145" s="820"/>
      <c r="T145" s="271"/>
      <c r="U145" s="820"/>
      <c r="V145" s="271"/>
    </row>
    <row r="146" spans="5:22" ht="14.25" customHeight="1">
      <c r="E146" s="50"/>
      <c r="F146" s="50"/>
      <c r="G146" s="819"/>
      <c r="K146" s="820"/>
      <c r="L146" s="271"/>
      <c r="M146" s="820"/>
      <c r="N146" s="271"/>
      <c r="O146" s="820"/>
      <c r="P146" s="271"/>
      <c r="Q146" s="820"/>
      <c r="R146" s="271"/>
      <c r="S146" s="820"/>
      <c r="T146" s="271"/>
      <c r="U146" s="820"/>
      <c r="V146" s="271"/>
    </row>
    <row r="147" spans="5:22" ht="14.25" customHeight="1">
      <c r="E147" s="50"/>
      <c r="F147" s="50"/>
      <c r="G147" s="819"/>
      <c r="K147" s="820"/>
      <c r="L147" s="271"/>
      <c r="M147" s="820"/>
      <c r="N147" s="271"/>
      <c r="O147" s="820"/>
      <c r="P147" s="271"/>
      <c r="Q147" s="820"/>
      <c r="R147" s="271"/>
      <c r="S147" s="820"/>
      <c r="T147" s="271"/>
      <c r="U147" s="820"/>
      <c r="V147" s="271"/>
    </row>
    <row r="148" spans="5:22" ht="14.25" customHeight="1">
      <c r="E148" s="50"/>
      <c r="F148" s="50"/>
      <c r="G148" s="819"/>
      <c r="K148" s="820"/>
      <c r="L148" s="271"/>
      <c r="M148" s="820"/>
      <c r="N148" s="271"/>
      <c r="O148" s="820"/>
      <c r="P148" s="271"/>
      <c r="Q148" s="820"/>
      <c r="R148" s="271"/>
      <c r="S148" s="820"/>
      <c r="T148" s="271"/>
      <c r="U148" s="820"/>
      <c r="V148" s="271"/>
    </row>
    <row r="149" spans="5:22" ht="14.25" customHeight="1">
      <c r="E149" s="50"/>
      <c r="F149" s="50"/>
      <c r="G149" s="819"/>
      <c r="K149" s="820"/>
      <c r="L149" s="271"/>
      <c r="M149" s="820"/>
      <c r="N149" s="271"/>
      <c r="O149" s="820"/>
      <c r="P149" s="271"/>
      <c r="Q149" s="820"/>
      <c r="R149" s="271"/>
      <c r="S149" s="820"/>
      <c r="T149" s="271"/>
      <c r="U149" s="820"/>
      <c r="V149" s="271"/>
    </row>
    <row r="150" spans="5:22" ht="14.25" customHeight="1">
      <c r="E150" s="50"/>
      <c r="F150" s="50"/>
      <c r="G150" s="819"/>
      <c r="K150" s="820"/>
      <c r="L150" s="271"/>
      <c r="M150" s="820"/>
      <c r="N150" s="271"/>
      <c r="O150" s="820"/>
      <c r="P150" s="271"/>
      <c r="Q150" s="820"/>
      <c r="R150" s="271"/>
      <c r="S150" s="820"/>
      <c r="T150" s="271"/>
      <c r="U150" s="820"/>
      <c r="V150" s="271"/>
    </row>
    <row r="151" spans="5:22" ht="14.25" customHeight="1">
      <c r="E151" s="50"/>
      <c r="F151" s="50"/>
      <c r="G151" s="819"/>
      <c r="K151" s="820"/>
      <c r="L151" s="271"/>
      <c r="M151" s="820"/>
      <c r="N151" s="271"/>
      <c r="O151" s="820"/>
      <c r="P151" s="271"/>
      <c r="Q151" s="820"/>
      <c r="R151" s="271"/>
      <c r="S151" s="820"/>
      <c r="T151" s="271"/>
      <c r="U151" s="820"/>
      <c r="V151" s="271"/>
    </row>
    <row r="152" spans="5:22" ht="14.25" customHeight="1">
      <c r="E152" s="50"/>
      <c r="F152" s="50"/>
      <c r="G152" s="819"/>
      <c r="K152" s="820"/>
      <c r="L152" s="271"/>
      <c r="M152" s="820"/>
      <c r="N152" s="271"/>
      <c r="O152" s="820"/>
      <c r="P152" s="271"/>
      <c r="Q152" s="820"/>
      <c r="R152" s="271"/>
      <c r="S152" s="820"/>
      <c r="T152" s="271"/>
      <c r="U152" s="820"/>
      <c r="V152" s="271"/>
    </row>
    <row r="153" spans="5:22" ht="14.25" customHeight="1">
      <c r="E153" s="50"/>
      <c r="F153" s="50"/>
      <c r="G153" s="819"/>
      <c r="K153" s="820"/>
      <c r="L153" s="271"/>
      <c r="M153" s="820"/>
      <c r="N153" s="271"/>
      <c r="O153" s="820"/>
      <c r="P153" s="271"/>
      <c r="Q153" s="820"/>
      <c r="R153" s="271"/>
      <c r="S153" s="820"/>
      <c r="T153" s="271"/>
      <c r="U153" s="820"/>
      <c r="V153" s="271"/>
    </row>
    <row r="154" spans="5:22" ht="14.25" customHeight="1">
      <c r="E154" s="50"/>
      <c r="F154" s="50"/>
      <c r="G154" s="819"/>
      <c r="K154" s="820"/>
      <c r="L154" s="271"/>
      <c r="M154" s="820"/>
      <c r="N154" s="271"/>
      <c r="O154" s="820"/>
      <c r="P154" s="271"/>
      <c r="Q154" s="820"/>
      <c r="R154" s="271"/>
      <c r="S154" s="820"/>
      <c r="T154" s="271"/>
      <c r="U154" s="820"/>
      <c r="V154" s="271"/>
    </row>
    <row r="155" spans="5:22" s="417" customFormat="1" ht="14.25" customHeight="1">
      <c r="E155" s="52"/>
      <c r="F155" s="52"/>
      <c r="G155" s="54"/>
      <c r="K155" s="52"/>
      <c r="L155" s="418"/>
      <c r="M155" s="52"/>
      <c r="N155" s="418"/>
      <c r="O155" s="52"/>
      <c r="P155" s="418"/>
      <c r="Q155" s="52"/>
      <c r="R155" s="418"/>
      <c r="S155" s="52"/>
      <c r="T155" s="418"/>
      <c r="U155" s="52"/>
      <c r="V155" s="418"/>
    </row>
    <row r="156" spans="5:22" ht="14.25" customHeight="1">
      <c r="E156" s="50"/>
      <c r="F156" s="50"/>
      <c r="G156" s="819"/>
      <c r="K156" s="820"/>
      <c r="L156" s="271"/>
      <c r="M156" s="820"/>
      <c r="N156" s="271"/>
      <c r="O156" s="820"/>
      <c r="P156" s="271"/>
      <c r="Q156" s="820"/>
      <c r="R156" s="271"/>
      <c r="S156" s="820"/>
      <c r="T156" s="271"/>
      <c r="U156" s="820"/>
      <c r="V156" s="271"/>
    </row>
  </sheetData>
  <sheetProtection algorithmName="SHA-512" hashValue="Pzf2BAa+1FVZimVnuOhej2z7EYhl8HSpFlFfahJFi1KWu+8DMPvyXZ1emkkb7ssHdOHcUDWGMMIq+GsKZXo+AQ==" saltValue="Lsl9s43hGbEdGlTCCbONnQ==" spinCount="100000" sheet="1" objects="1" scenarios="1"/>
  <mergeCells count="356">
    <mergeCell ref="A1:C1"/>
    <mergeCell ref="J2:L2"/>
    <mergeCell ref="M2:O2"/>
    <mergeCell ref="P2:R2"/>
    <mergeCell ref="S2:U2"/>
    <mergeCell ref="V2:X2"/>
    <mergeCell ref="Y2:AA2"/>
    <mergeCell ref="J44:L44"/>
    <mergeCell ref="M44:O44"/>
    <mergeCell ref="P44:R44"/>
    <mergeCell ref="S44:U44"/>
    <mergeCell ref="V44:X44"/>
    <mergeCell ref="Y44:AA44"/>
    <mergeCell ref="J43:L43"/>
    <mergeCell ref="M43:O43"/>
    <mergeCell ref="P43:R43"/>
    <mergeCell ref="S43:U43"/>
    <mergeCell ref="V43:X43"/>
    <mergeCell ref="Y43:AA43"/>
    <mergeCell ref="J42:L42"/>
    <mergeCell ref="M42:O42"/>
    <mergeCell ref="P42:R42"/>
    <mergeCell ref="S42:U42"/>
    <mergeCell ref="V42:X42"/>
    <mergeCell ref="F62:G62"/>
    <mergeCell ref="J59:L59"/>
    <mergeCell ref="M59:O59"/>
    <mergeCell ref="P59:R59"/>
    <mergeCell ref="S59:U59"/>
    <mergeCell ref="V59:X59"/>
    <mergeCell ref="Y59:AA59"/>
    <mergeCell ref="J58:L58"/>
    <mergeCell ref="M58:O58"/>
    <mergeCell ref="P58:R58"/>
    <mergeCell ref="S58:U58"/>
    <mergeCell ref="V58:X58"/>
    <mergeCell ref="Y58:AA58"/>
    <mergeCell ref="J57:L57"/>
    <mergeCell ref="M57:O57"/>
    <mergeCell ref="P57:R57"/>
    <mergeCell ref="S57:U57"/>
    <mergeCell ref="V57:X57"/>
    <mergeCell ref="Y57:AA57"/>
    <mergeCell ref="J54:L54"/>
    <mergeCell ref="M54:O54"/>
    <mergeCell ref="P54:R54"/>
    <mergeCell ref="S54:U54"/>
    <mergeCell ref="V54:X54"/>
    <mergeCell ref="Y54:AA54"/>
    <mergeCell ref="J55:L55"/>
    <mergeCell ref="M55:O55"/>
    <mergeCell ref="P55:R55"/>
    <mergeCell ref="S55:U55"/>
    <mergeCell ref="V55:X55"/>
    <mergeCell ref="Y55:AA55"/>
    <mergeCell ref="J56:L56"/>
    <mergeCell ref="M56:O56"/>
    <mergeCell ref="P56:R56"/>
    <mergeCell ref="S56:U56"/>
    <mergeCell ref="V56:X56"/>
    <mergeCell ref="Y56:AA56"/>
    <mergeCell ref="J53:L53"/>
    <mergeCell ref="M53:O53"/>
    <mergeCell ref="P53:R53"/>
    <mergeCell ref="S53:U53"/>
    <mergeCell ref="V53:X53"/>
    <mergeCell ref="Y53:AA53"/>
    <mergeCell ref="J51:L51"/>
    <mergeCell ref="M51:O51"/>
    <mergeCell ref="P51:R51"/>
    <mergeCell ref="S51:U51"/>
    <mergeCell ref="V51:X51"/>
    <mergeCell ref="Y51:AA51"/>
    <mergeCell ref="J52:L52"/>
    <mergeCell ref="M52:O52"/>
    <mergeCell ref="P52:R52"/>
    <mergeCell ref="S52:U52"/>
    <mergeCell ref="V52:X52"/>
    <mergeCell ref="Y52:AA52"/>
    <mergeCell ref="V50:X50"/>
    <mergeCell ref="Y50:AA50"/>
    <mergeCell ref="J48:L48"/>
    <mergeCell ref="M48:O48"/>
    <mergeCell ref="P48:R48"/>
    <mergeCell ref="S48:U48"/>
    <mergeCell ref="V48:X48"/>
    <mergeCell ref="Y48:AA48"/>
    <mergeCell ref="J47:L47"/>
    <mergeCell ref="M47:O47"/>
    <mergeCell ref="P47:R47"/>
    <mergeCell ref="S47:U47"/>
    <mergeCell ref="V47:X47"/>
    <mergeCell ref="Y47:AA47"/>
    <mergeCell ref="J50:L50"/>
    <mergeCell ref="M50:O50"/>
    <mergeCell ref="P50:R50"/>
    <mergeCell ref="S50:U50"/>
    <mergeCell ref="J46:L46"/>
    <mergeCell ref="M46:O46"/>
    <mergeCell ref="P46:R46"/>
    <mergeCell ref="S46:U46"/>
    <mergeCell ref="V46:X46"/>
    <mergeCell ref="Y46:AA46"/>
    <mergeCell ref="J45:L45"/>
    <mergeCell ref="M45:O45"/>
    <mergeCell ref="P45:R45"/>
    <mergeCell ref="S45:U45"/>
    <mergeCell ref="V45:X45"/>
    <mergeCell ref="Y45:AA45"/>
    <mergeCell ref="Y42:AA42"/>
    <mergeCell ref="J34:L34"/>
    <mergeCell ref="M34:O34"/>
    <mergeCell ref="P34:R34"/>
    <mergeCell ref="S34:U34"/>
    <mergeCell ref="V34:X34"/>
    <mergeCell ref="Y34:AA34"/>
    <mergeCell ref="J33:L33"/>
    <mergeCell ref="M33:O33"/>
    <mergeCell ref="P33:R33"/>
    <mergeCell ref="S33:U33"/>
    <mergeCell ref="V33:X33"/>
    <mergeCell ref="Y33:AA33"/>
    <mergeCell ref="Y41:AA41"/>
    <mergeCell ref="J36:L36"/>
    <mergeCell ref="M36:O36"/>
    <mergeCell ref="P36:R36"/>
    <mergeCell ref="S36:U36"/>
    <mergeCell ref="V36:X36"/>
    <mergeCell ref="Y36:AA36"/>
    <mergeCell ref="J37:L37"/>
    <mergeCell ref="M37:O37"/>
    <mergeCell ref="P37:R37"/>
    <mergeCell ref="S37:U37"/>
    <mergeCell ref="J32:L32"/>
    <mergeCell ref="M32:O32"/>
    <mergeCell ref="P32:R32"/>
    <mergeCell ref="S32:U32"/>
    <mergeCell ref="V32:X32"/>
    <mergeCell ref="Y32:AA32"/>
    <mergeCell ref="J31:L31"/>
    <mergeCell ref="M31:O31"/>
    <mergeCell ref="P31:R31"/>
    <mergeCell ref="S31:U31"/>
    <mergeCell ref="V31:X31"/>
    <mergeCell ref="Y31:AA31"/>
    <mergeCell ref="J30:L30"/>
    <mergeCell ref="M30:O30"/>
    <mergeCell ref="P30:R30"/>
    <mergeCell ref="S30:U30"/>
    <mergeCell ref="V30:X30"/>
    <mergeCell ref="Y30:AA30"/>
    <mergeCell ref="J29:L29"/>
    <mergeCell ref="M29:O29"/>
    <mergeCell ref="P29:R29"/>
    <mergeCell ref="S29:U29"/>
    <mergeCell ref="V29:X29"/>
    <mergeCell ref="Y29:AA29"/>
    <mergeCell ref="J28:L28"/>
    <mergeCell ref="M28:O28"/>
    <mergeCell ref="P28:R28"/>
    <mergeCell ref="S28:U28"/>
    <mergeCell ref="V28:X28"/>
    <mergeCell ref="Y28:AA28"/>
    <mergeCell ref="J27:L27"/>
    <mergeCell ref="M27:O27"/>
    <mergeCell ref="P27:R27"/>
    <mergeCell ref="S27:U27"/>
    <mergeCell ref="V27:X27"/>
    <mergeCell ref="Y27:AA27"/>
    <mergeCell ref="J26:L26"/>
    <mergeCell ref="M26:O26"/>
    <mergeCell ref="P26:R26"/>
    <mergeCell ref="S26:U26"/>
    <mergeCell ref="V26:X26"/>
    <mergeCell ref="Y26:AA26"/>
    <mergeCell ref="J25:L25"/>
    <mergeCell ref="M25:O25"/>
    <mergeCell ref="P25:R25"/>
    <mergeCell ref="S25:U25"/>
    <mergeCell ref="V25:X25"/>
    <mergeCell ref="Y25:AA25"/>
    <mergeCell ref="J24:L24"/>
    <mergeCell ref="M24:O24"/>
    <mergeCell ref="P24:R24"/>
    <mergeCell ref="S24:U24"/>
    <mergeCell ref="V24:X24"/>
    <mergeCell ref="Y24:AA24"/>
    <mergeCell ref="J23:L23"/>
    <mergeCell ref="M23:O23"/>
    <mergeCell ref="P23:R23"/>
    <mergeCell ref="S23:U23"/>
    <mergeCell ref="V23:X23"/>
    <mergeCell ref="Y23:AA23"/>
    <mergeCell ref="J22:L22"/>
    <mergeCell ref="M22:O22"/>
    <mergeCell ref="P22:R22"/>
    <mergeCell ref="S22:U22"/>
    <mergeCell ref="V22:X22"/>
    <mergeCell ref="Y22:AA22"/>
    <mergeCell ref="J21:L21"/>
    <mergeCell ref="M21:O21"/>
    <mergeCell ref="P21:R21"/>
    <mergeCell ref="S21:U21"/>
    <mergeCell ref="V21:X21"/>
    <mergeCell ref="Y21:AA21"/>
    <mergeCell ref="J20:L20"/>
    <mergeCell ref="M20:O20"/>
    <mergeCell ref="P20:R20"/>
    <mergeCell ref="S20:U20"/>
    <mergeCell ref="V20:X20"/>
    <mergeCell ref="Y20:AA20"/>
    <mergeCell ref="J19:L19"/>
    <mergeCell ref="M19:O19"/>
    <mergeCell ref="P19:R19"/>
    <mergeCell ref="S19:U19"/>
    <mergeCell ref="V19:X19"/>
    <mergeCell ref="Y19:AA19"/>
    <mergeCell ref="J18:L18"/>
    <mergeCell ref="M18:O18"/>
    <mergeCell ref="P18:R18"/>
    <mergeCell ref="S18:U18"/>
    <mergeCell ref="V18:X18"/>
    <mergeCell ref="Y18:AA18"/>
    <mergeCell ref="J17:L17"/>
    <mergeCell ref="M17:O17"/>
    <mergeCell ref="P17:R17"/>
    <mergeCell ref="S17:U17"/>
    <mergeCell ref="V17:X17"/>
    <mergeCell ref="Y17:AA17"/>
    <mergeCell ref="J16:L16"/>
    <mergeCell ref="M16:O16"/>
    <mergeCell ref="P16:R16"/>
    <mergeCell ref="S16:U16"/>
    <mergeCell ref="V16:X16"/>
    <mergeCell ref="Y16:AA16"/>
    <mergeCell ref="J15:L15"/>
    <mergeCell ref="M15:O15"/>
    <mergeCell ref="P15:R15"/>
    <mergeCell ref="S15:U15"/>
    <mergeCell ref="V15:X15"/>
    <mergeCell ref="Y15:AA15"/>
    <mergeCell ref="J14:L14"/>
    <mergeCell ref="M14:O14"/>
    <mergeCell ref="P14:R14"/>
    <mergeCell ref="S14:U14"/>
    <mergeCell ref="V14:X14"/>
    <mergeCell ref="Y14:AA14"/>
    <mergeCell ref="J13:L13"/>
    <mergeCell ref="M13:O13"/>
    <mergeCell ref="P13:R13"/>
    <mergeCell ref="S13:U13"/>
    <mergeCell ref="V13:X13"/>
    <mergeCell ref="Y13:AA13"/>
    <mergeCell ref="J8:L8"/>
    <mergeCell ref="M8:O8"/>
    <mergeCell ref="P8:R8"/>
    <mergeCell ref="S8:U8"/>
    <mergeCell ref="V8:X8"/>
    <mergeCell ref="Y8:AA8"/>
    <mergeCell ref="J12:L12"/>
    <mergeCell ref="M12:O12"/>
    <mergeCell ref="P12:R12"/>
    <mergeCell ref="S12:U12"/>
    <mergeCell ref="V12:X12"/>
    <mergeCell ref="Y12:AA12"/>
    <mergeCell ref="J11:L11"/>
    <mergeCell ref="M11:O11"/>
    <mergeCell ref="P11:R11"/>
    <mergeCell ref="S11:U11"/>
    <mergeCell ref="V11:X11"/>
    <mergeCell ref="Y11:AA11"/>
    <mergeCell ref="J10:L10"/>
    <mergeCell ref="M10:O10"/>
    <mergeCell ref="P10:R10"/>
    <mergeCell ref="S10:U10"/>
    <mergeCell ref="V10:X10"/>
    <mergeCell ref="Y10:AA10"/>
    <mergeCell ref="J9:L9"/>
    <mergeCell ref="M9:O9"/>
    <mergeCell ref="P9:R9"/>
    <mergeCell ref="S9:U9"/>
    <mergeCell ref="V9:X9"/>
    <mergeCell ref="Y9:AA9"/>
    <mergeCell ref="J1:L1"/>
    <mergeCell ref="M1:O1"/>
    <mergeCell ref="P1:R1"/>
    <mergeCell ref="S1:U1"/>
    <mergeCell ref="V1:X1"/>
    <mergeCell ref="Y1:AA1"/>
    <mergeCell ref="J5:L5"/>
    <mergeCell ref="M5:O5"/>
    <mergeCell ref="P5:R5"/>
    <mergeCell ref="S5:U5"/>
    <mergeCell ref="V5:X5"/>
    <mergeCell ref="Y5:AA5"/>
    <mergeCell ref="J3:L3"/>
    <mergeCell ref="M3:O3"/>
    <mergeCell ref="P3:R3"/>
    <mergeCell ref="S3:U3"/>
    <mergeCell ref="V3:X3"/>
    <mergeCell ref="Y3:AA3"/>
    <mergeCell ref="J4:L4"/>
    <mergeCell ref="M4:O4"/>
    <mergeCell ref="P4:R4"/>
    <mergeCell ref="S4:U4"/>
    <mergeCell ref="V4:X4"/>
    <mergeCell ref="Y4:AA4"/>
    <mergeCell ref="J7:L7"/>
    <mergeCell ref="M7:O7"/>
    <mergeCell ref="P7:R7"/>
    <mergeCell ref="S7:U7"/>
    <mergeCell ref="V7:X7"/>
    <mergeCell ref="Y7:AA7"/>
    <mergeCell ref="J6:L6"/>
    <mergeCell ref="M6:O6"/>
    <mergeCell ref="P6:R6"/>
    <mergeCell ref="S6:U6"/>
    <mergeCell ref="V6:X6"/>
    <mergeCell ref="Y6:AA6"/>
    <mergeCell ref="V37:X37"/>
    <mergeCell ref="Y37:AA37"/>
    <mergeCell ref="J38:L38"/>
    <mergeCell ref="M38:O38"/>
    <mergeCell ref="P38:R38"/>
    <mergeCell ref="S38:U38"/>
    <mergeCell ref="V38:X38"/>
    <mergeCell ref="Y38:AA38"/>
    <mergeCell ref="J39:L39"/>
    <mergeCell ref="M39:O39"/>
    <mergeCell ref="P39:R39"/>
    <mergeCell ref="S39:U39"/>
    <mergeCell ref="V39:X39"/>
    <mergeCell ref="J35:L35"/>
    <mergeCell ref="M35:O35"/>
    <mergeCell ref="P35:R35"/>
    <mergeCell ref="S35:U35"/>
    <mergeCell ref="V35:X35"/>
    <mergeCell ref="Y35:AA35"/>
    <mergeCell ref="J49:L49"/>
    <mergeCell ref="M49:O49"/>
    <mergeCell ref="P49:R49"/>
    <mergeCell ref="S49:U49"/>
    <mergeCell ref="V49:X49"/>
    <mergeCell ref="Y49:AA49"/>
    <mergeCell ref="Y39:AA39"/>
    <mergeCell ref="J40:L40"/>
    <mergeCell ref="M40:O40"/>
    <mergeCell ref="P40:R40"/>
    <mergeCell ref="S40:U40"/>
    <mergeCell ref="V40:X40"/>
    <mergeCell ref="Y40:AA40"/>
    <mergeCell ref="J41:L41"/>
    <mergeCell ref="M41:O41"/>
    <mergeCell ref="P41:R41"/>
    <mergeCell ref="S41:U41"/>
    <mergeCell ref="V41:X41"/>
  </mergeCells>
  <phoneticPr fontId="4" type="noConversion"/>
  <pageMargins left="0.7" right="0.7" top="0.78740157499999996" bottom="0.78740157499999996" header="0.3" footer="0.3"/>
  <pageSetup paperSize="9" orientation="portrait" horizontalDpi="30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B7711-0A81-45B8-8B0F-775728B48412}">
  <sheetPr>
    <tabColor theme="4" tint="0.79998168889431442"/>
  </sheetPr>
  <dimension ref="A1:AC149"/>
  <sheetViews>
    <sheetView workbookViewId="0">
      <pane ySplit="1" topLeftCell="A2" activePane="bottomLeft" state="frozen"/>
      <selection pane="bottomLeft" sqref="A1:C1"/>
    </sheetView>
  </sheetViews>
  <sheetFormatPr baseColWidth="10" defaultColWidth="11.42578125" defaultRowHeight="14.25" customHeight="1"/>
  <cols>
    <col min="1" max="1" width="20.7109375" style="5" bestFit="1" customWidth="1"/>
    <col min="2" max="2" width="30.140625" style="5" bestFit="1" customWidth="1"/>
    <col min="3" max="3" width="7.85546875" style="5" customWidth="1"/>
    <col min="4" max="4" width="7.7109375" style="5" bestFit="1" customWidth="1"/>
    <col min="5" max="5" width="15.28515625" style="5" customWidth="1"/>
    <col min="6" max="6" width="19.140625" style="5" customWidth="1"/>
    <col min="7" max="7" width="10" style="6" bestFit="1" customWidth="1"/>
    <col min="8" max="8" width="15" style="5" bestFit="1" customWidth="1"/>
    <col min="9" max="9" width="1.5703125" style="5" customWidth="1"/>
    <col min="10" max="10" width="14.7109375" style="5" customWidth="1"/>
    <col min="11" max="11" width="18.7109375" style="5" customWidth="1"/>
    <col min="12" max="12" width="11.7109375" style="5" customWidth="1"/>
    <col min="13" max="13" width="14.7109375" style="5" customWidth="1"/>
    <col min="14" max="14" width="18.7109375" style="5" customWidth="1"/>
    <col min="15" max="15" width="11.7109375" style="5" customWidth="1"/>
    <col min="16" max="16" width="14.7109375" style="5" customWidth="1"/>
    <col min="17" max="17" width="18.7109375" style="5" customWidth="1"/>
    <col min="18" max="18" width="11.7109375" style="5" customWidth="1"/>
    <col min="19" max="19" width="14.7109375" style="5" customWidth="1"/>
    <col min="20" max="20" width="18.7109375" style="5" customWidth="1"/>
    <col min="21" max="21" width="11.7109375" style="5" customWidth="1"/>
    <col min="22" max="22" width="14.7109375" style="5" customWidth="1"/>
    <col min="23" max="23" width="18.7109375" style="5" customWidth="1"/>
    <col min="24" max="24" width="11.7109375" style="5" customWidth="1"/>
    <col min="25" max="25" width="14.7109375" style="5" customWidth="1"/>
    <col min="26" max="26" width="18.7109375" style="5" customWidth="1"/>
    <col min="27" max="27" width="11.7109375" style="5" customWidth="1"/>
    <col min="28" max="16384" width="11.42578125" style="5"/>
  </cols>
  <sheetData>
    <row r="1" spans="1:28" ht="14.25" customHeight="1">
      <c r="A1" s="1025" t="s">
        <v>219</v>
      </c>
      <c r="B1" s="1025"/>
      <c r="C1" s="1025"/>
      <c r="J1" s="1046" t="s">
        <v>46</v>
      </c>
      <c r="K1" s="1047"/>
      <c r="L1" s="1047"/>
      <c r="M1" s="1046" t="s">
        <v>498</v>
      </c>
      <c r="N1" s="1047"/>
      <c r="O1" s="1047"/>
      <c r="P1" s="1046" t="s">
        <v>499</v>
      </c>
      <c r="Q1" s="1047"/>
      <c r="R1" s="1047"/>
      <c r="S1" s="1046" t="s">
        <v>500</v>
      </c>
      <c r="T1" s="1047"/>
      <c r="U1" s="1047"/>
      <c r="V1" s="1046" t="s">
        <v>501</v>
      </c>
      <c r="W1" s="1047"/>
      <c r="X1" s="1047"/>
      <c r="Y1" s="1046" t="s">
        <v>502</v>
      </c>
      <c r="Z1" s="1047"/>
      <c r="AA1" s="1048"/>
      <c r="AB1" s="10"/>
    </row>
    <row r="2" spans="1:28" ht="8.25" customHeight="1">
      <c r="E2" s="55"/>
      <c r="F2" s="50"/>
      <c r="G2" s="53"/>
      <c r="H2" s="6"/>
      <c r="J2" s="1111"/>
      <c r="K2" s="975"/>
      <c r="L2" s="1112"/>
      <c r="M2" s="1111"/>
      <c r="N2" s="975"/>
      <c r="O2" s="975"/>
      <c r="P2" s="1111"/>
      <c r="Q2" s="975"/>
      <c r="R2" s="975"/>
      <c r="S2" s="1111"/>
      <c r="T2" s="975"/>
      <c r="U2" s="975"/>
      <c r="V2" s="1111"/>
      <c r="W2" s="975"/>
      <c r="X2" s="975"/>
      <c r="Y2" s="1111"/>
      <c r="Z2" s="975"/>
      <c r="AA2" s="1112"/>
      <c r="AB2" s="10"/>
    </row>
    <row r="3" spans="1:28" ht="14.25" customHeight="1">
      <c r="F3" s="420" t="s">
        <v>55</v>
      </c>
      <c r="G3" s="421"/>
      <c r="H3" s="889" t="s">
        <v>5</v>
      </c>
      <c r="I3" s="889"/>
      <c r="J3" s="1052">
        <f>IF(Tunneldaten!E12="","",Tunneldaten!E14)</f>
        <v>0</v>
      </c>
      <c r="K3" s="1053"/>
      <c r="L3" s="1053"/>
      <c r="M3" s="1052" t="str">
        <f>IF(Tunneldaten!F12="","",Tunneldaten!F14)</f>
        <v/>
      </c>
      <c r="N3" s="1053"/>
      <c r="O3" s="1053"/>
      <c r="P3" s="1052" t="str">
        <f>IF(Tunneldaten!G12="","",Tunneldaten!G14)</f>
        <v/>
      </c>
      <c r="Q3" s="1053"/>
      <c r="R3" s="1053"/>
      <c r="S3" s="1052" t="str">
        <f>IF(Tunneldaten!H12="","",Tunneldaten!H14)</f>
        <v/>
      </c>
      <c r="T3" s="1053"/>
      <c r="U3" s="1053"/>
      <c r="V3" s="1052" t="str">
        <f>IF(Tunneldaten!I12="","",Tunneldaten!I14)</f>
        <v/>
      </c>
      <c r="W3" s="1053"/>
      <c r="X3" s="1053"/>
      <c r="Y3" s="1052" t="str">
        <f>IF(Tunneldaten!J12="","",Tunneldaten!J14)</f>
        <v/>
      </c>
      <c r="Z3" s="1053"/>
      <c r="AA3" s="1054"/>
      <c r="AB3" s="10"/>
    </row>
    <row r="4" spans="1:28" ht="14.25" customHeight="1">
      <c r="F4" s="267" t="s">
        <v>503</v>
      </c>
      <c r="G4" s="268"/>
      <c r="H4" s="269" t="s">
        <v>5</v>
      </c>
      <c r="I4" s="269"/>
      <c r="J4" s="1055" t="str">
        <f>IF(J3="SM",Tunneldaten!$E$15,"")</f>
        <v/>
      </c>
      <c r="K4" s="1056"/>
      <c r="L4" s="1057"/>
      <c r="M4" s="1055" t="str">
        <f>IF(M3="SM",Tunneldaten!$F$15,"")</f>
        <v/>
      </c>
      <c r="N4" s="1056"/>
      <c r="O4" s="1057"/>
      <c r="P4" s="1055" t="str">
        <f>IF(P3="SM",Tunneldaten!$G$15,"")</f>
        <v/>
      </c>
      <c r="Q4" s="1056"/>
      <c r="R4" s="1057"/>
      <c r="S4" s="1055" t="str">
        <f>IF(S3="SM",Tunneldaten!$H$15,"")</f>
        <v/>
      </c>
      <c r="T4" s="1056"/>
      <c r="U4" s="1057"/>
      <c r="V4" s="1055" t="str">
        <f>IF(V3="SM",Tunneldaten!$I$15,"")</f>
        <v/>
      </c>
      <c r="W4" s="1056"/>
      <c r="X4" s="1057"/>
      <c r="Y4" s="1055" t="str">
        <f>IF(Y3="SM",Tunneldaten!$J$15,"")</f>
        <v/>
      </c>
      <c r="Z4" s="1056"/>
      <c r="AA4" s="1057"/>
      <c r="AB4" s="10"/>
    </row>
    <row r="5" spans="1:28" ht="14.25" customHeight="1">
      <c r="F5" s="422" t="s">
        <v>457</v>
      </c>
      <c r="G5" s="423"/>
      <c r="H5" s="142" t="s">
        <v>62</v>
      </c>
      <c r="I5" s="896"/>
      <c r="J5" s="1049" t="str">
        <f>IF(J$3&lt;&gt;$A$1,"",'Bau-Geometrie'!C25)</f>
        <v/>
      </c>
      <c r="K5" s="1050"/>
      <c r="L5" s="1050"/>
      <c r="M5" s="1049" t="str">
        <f>IF(M$3&lt;&gt;$A$1,"",'Bau-Geometrie'!D25)</f>
        <v/>
      </c>
      <c r="N5" s="1050"/>
      <c r="O5" s="1050"/>
      <c r="P5" s="1049" t="str">
        <f>IF(P$3&lt;&gt;$A$1,"",'Bau-Geometrie'!E25)</f>
        <v/>
      </c>
      <c r="Q5" s="1050"/>
      <c r="R5" s="1050"/>
      <c r="S5" s="1049" t="str">
        <f>IF(S$3&lt;&gt;$A$1,"",'Bau-Geometrie'!F25)</f>
        <v/>
      </c>
      <c r="T5" s="1050"/>
      <c r="U5" s="1050"/>
      <c r="V5" s="1049" t="str">
        <f>IF(V$3&lt;&gt;$A$1,"",'Bau-Geometrie'!G25)</f>
        <v/>
      </c>
      <c r="W5" s="1050"/>
      <c r="X5" s="1050"/>
      <c r="Y5" s="1049" t="str">
        <f>IF(Y$3&lt;&gt;$A$1,"",'Bau-Geometrie'!H25)</f>
        <v/>
      </c>
      <c r="Z5" s="1050"/>
      <c r="AA5" s="1051"/>
      <c r="AB5" s="10"/>
    </row>
    <row r="6" spans="1:28" ht="14.25" customHeight="1">
      <c r="F6" s="424" t="s">
        <v>458</v>
      </c>
      <c r="G6" s="425"/>
      <c r="H6" s="139" t="s">
        <v>62</v>
      </c>
      <c r="I6" s="426"/>
      <c r="J6" s="1061" t="str">
        <f>IF(J$3&lt;&gt;$A$1,"",'Bau-Geometrie'!C26)</f>
        <v/>
      </c>
      <c r="K6" s="1062"/>
      <c r="L6" s="1062"/>
      <c r="M6" s="1061" t="str">
        <f>IF(M$3&lt;&gt;$A$1,"",'Bau-Geometrie'!D26)</f>
        <v/>
      </c>
      <c r="N6" s="1062"/>
      <c r="O6" s="1062"/>
      <c r="P6" s="1061" t="str">
        <f>IF(P$3&lt;&gt;$A$1,"",'Bau-Geometrie'!E26)</f>
        <v/>
      </c>
      <c r="Q6" s="1062"/>
      <c r="R6" s="1062"/>
      <c r="S6" s="1061" t="str">
        <f>IF(S$3&lt;&gt;$A$1,"",'Bau-Geometrie'!F26)</f>
        <v/>
      </c>
      <c r="T6" s="1062"/>
      <c r="U6" s="1062"/>
      <c r="V6" s="1061" t="str">
        <f>IF(V$3&lt;&gt;$A$1,"",'Bau-Geometrie'!G26)</f>
        <v/>
      </c>
      <c r="W6" s="1062"/>
      <c r="X6" s="1062"/>
      <c r="Y6" s="1061" t="str">
        <f>IF(Y$3&lt;&gt;$A$1,"",'Bau-Geometrie'!H26)</f>
        <v/>
      </c>
      <c r="Z6" s="1062"/>
      <c r="AA6" s="1063"/>
      <c r="AB6" s="10"/>
    </row>
    <row r="7" spans="1:28" ht="14.25" customHeight="1">
      <c r="F7" s="427" t="s">
        <v>459</v>
      </c>
      <c r="G7" s="428"/>
      <c r="H7" s="131" t="s">
        <v>62</v>
      </c>
      <c r="I7" s="429"/>
      <c r="J7" s="1058" t="str">
        <f>IF(J$3&lt;&gt;$A$1,"",'Bau-Geometrie'!C27)</f>
        <v/>
      </c>
      <c r="K7" s="1059"/>
      <c r="L7" s="1059"/>
      <c r="M7" s="1058" t="str">
        <f>IF(M$3&lt;&gt;$A$1,"",'Bau-Geometrie'!D27)</f>
        <v/>
      </c>
      <c r="N7" s="1059"/>
      <c r="O7" s="1059"/>
      <c r="P7" s="1058" t="str">
        <f>IF(P$3&lt;&gt;$A$1,"",'Bau-Geometrie'!E27)</f>
        <v/>
      </c>
      <c r="Q7" s="1059"/>
      <c r="R7" s="1059"/>
      <c r="S7" s="1058" t="str">
        <f>IF(S$3&lt;&gt;$A$1,"",'Bau-Geometrie'!F27)</f>
        <v/>
      </c>
      <c r="T7" s="1059"/>
      <c r="U7" s="1059"/>
      <c r="V7" s="1058" t="str">
        <f>IF(V$3&lt;&gt;$A$1,"",'Bau-Geometrie'!G27)</f>
        <v/>
      </c>
      <c r="W7" s="1059"/>
      <c r="X7" s="1059"/>
      <c r="Y7" s="1058" t="str">
        <f>IF(Y$3&lt;&gt;$A$1,"",'Bau-Geometrie'!H27)</f>
        <v/>
      </c>
      <c r="Z7" s="1059"/>
      <c r="AA7" s="1060"/>
      <c r="AB7" s="10"/>
    </row>
    <row r="8" spans="1:28" ht="14.25" customHeight="1">
      <c r="F8" s="430" t="s">
        <v>460</v>
      </c>
      <c r="G8" s="431"/>
      <c r="H8" s="132" t="s">
        <v>461</v>
      </c>
      <c r="I8" s="432"/>
      <c r="J8" s="1067" t="str">
        <f>IF(J$3&lt;&gt;$A$1,"",'Bau-Geometrie'!C28)</f>
        <v/>
      </c>
      <c r="K8" s="1068"/>
      <c r="L8" s="1068"/>
      <c r="M8" s="1067" t="str">
        <f>IF(M$3&lt;&gt;$A$1,"",'Bau-Geometrie'!D28)</f>
        <v/>
      </c>
      <c r="N8" s="1068"/>
      <c r="O8" s="1068"/>
      <c r="P8" s="1067" t="str">
        <f>IF(P$3&lt;&gt;$A$1,"",'Bau-Geometrie'!E28)</f>
        <v/>
      </c>
      <c r="Q8" s="1068"/>
      <c r="R8" s="1068"/>
      <c r="S8" s="1067" t="str">
        <f>IF(S$3&lt;&gt;$A$1,"",'Bau-Geometrie'!F28)</f>
        <v/>
      </c>
      <c r="T8" s="1068"/>
      <c r="U8" s="1068"/>
      <c r="V8" s="1067" t="str">
        <f>IF(V$3&lt;&gt;$A$1,"",'Bau-Geometrie'!G28)</f>
        <v/>
      </c>
      <c r="W8" s="1068"/>
      <c r="X8" s="1068"/>
      <c r="Y8" s="1067" t="str">
        <f>IF(Y$3&lt;&gt;$A$1,"",'Bau-Geometrie'!H28)</f>
        <v/>
      </c>
      <c r="Z8" s="1068"/>
      <c r="AA8" s="1069"/>
      <c r="AB8" s="10"/>
    </row>
    <row r="9" spans="1:28" ht="14.25" customHeight="1">
      <c r="F9" s="433" t="s">
        <v>53</v>
      </c>
      <c r="G9" s="434"/>
      <c r="H9" s="140" t="s">
        <v>54</v>
      </c>
      <c r="I9" s="434"/>
      <c r="J9" s="1064" t="str">
        <f>IF(J$3&lt;&gt;$A$1,"",'Bau-Geometrie'!C17)</f>
        <v/>
      </c>
      <c r="K9" s="1065"/>
      <c r="L9" s="1065"/>
      <c r="M9" s="1064" t="str">
        <f>IF(M$3&lt;&gt;$A$1,"",'Bau-Geometrie'!D17)</f>
        <v/>
      </c>
      <c r="N9" s="1065"/>
      <c r="O9" s="1065"/>
      <c r="P9" s="1064" t="str">
        <f>IF(P$3&lt;&gt;$A$1,"",'Bau-Geometrie'!E17)</f>
        <v/>
      </c>
      <c r="Q9" s="1065"/>
      <c r="R9" s="1065"/>
      <c r="S9" s="1064" t="str">
        <f>IF(S$3&lt;&gt;$A$1,"",'Bau-Geometrie'!F17)</f>
        <v/>
      </c>
      <c r="T9" s="1065"/>
      <c r="U9" s="1065"/>
      <c r="V9" s="1064" t="str">
        <f>IF(V$3&lt;&gt;$A$1,"",'Bau-Geometrie'!G17)</f>
        <v/>
      </c>
      <c r="W9" s="1065"/>
      <c r="X9" s="1065"/>
      <c r="Y9" s="1064" t="str">
        <f>IF(Y$3&lt;&gt;$A$1,"",'Bau-Geometrie'!H17)</f>
        <v/>
      </c>
      <c r="Z9" s="1065"/>
      <c r="AA9" s="1066"/>
      <c r="AB9" s="10"/>
    </row>
    <row r="10" spans="1:28" ht="14.25" customHeight="1">
      <c r="F10" s="427" t="s">
        <v>57</v>
      </c>
      <c r="G10" s="429"/>
      <c r="H10" s="131" t="s">
        <v>54</v>
      </c>
      <c r="I10" s="429"/>
      <c r="J10" s="1070" t="str">
        <f>IF(J$3&lt;&gt;$A$1,"",'Bau-Geometrie'!C18)</f>
        <v/>
      </c>
      <c r="K10" s="1071"/>
      <c r="L10" s="1071"/>
      <c r="M10" s="1070" t="str">
        <f>IF(M$3&lt;&gt;$A$1,"",'Bau-Geometrie'!D18)</f>
        <v/>
      </c>
      <c r="N10" s="1071"/>
      <c r="O10" s="1071"/>
      <c r="P10" s="1070" t="str">
        <f>IF(P$3&lt;&gt;$A$1,"",'Bau-Geometrie'!E18)</f>
        <v/>
      </c>
      <c r="Q10" s="1071"/>
      <c r="R10" s="1071"/>
      <c r="S10" s="1070" t="str">
        <f>IF(S$3&lt;&gt;$A$1,"",'Bau-Geometrie'!F18)</f>
        <v/>
      </c>
      <c r="T10" s="1071"/>
      <c r="U10" s="1071"/>
      <c r="V10" s="1070" t="str">
        <f>IF(V$3&lt;&gt;$A$1,"",'Bau-Geometrie'!G18)</f>
        <v/>
      </c>
      <c r="W10" s="1071"/>
      <c r="X10" s="1071"/>
      <c r="Y10" s="1070" t="str">
        <f>IF(Y$3&lt;&gt;$A$1,"",'Bau-Geometrie'!H18)</f>
        <v/>
      </c>
      <c r="Z10" s="1071"/>
      <c r="AA10" s="1072"/>
      <c r="AB10" s="10"/>
    </row>
    <row r="11" spans="1:28" ht="14.25" customHeight="1">
      <c r="F11" s="427" t="s">
        <v>60</v>
      </c>
      <c r="G11" s="429"/>
      <c r="H11" s="131" t="s">
        <v>54</v>
      </c>
      <c r="I11" s="435"/>
      <c r="J11" s="1070" t="str">
        <f>IF(J$3&lt;&gt;$A$1,"",'Bau-Geometrie'!C19)</f>
        <v/>
      </c>
      <c r="K11" s="1071"/>
      <c r="L11" s="1071"/>
      <c r="M11" s="1070" t="str">
        <f>IF(M$3&lt;&gt;$A$1,"",'Bau-Geometrie'!D19)</f>
        <v/>
      </c>
      <c r="N11" s="1071"/>
      <c r="O11" s="1071"/>
      <c r="P11" s="1070" t="str">
        <f>IF(P$3&lt;&gt;$A$1,"",'Bau-Geometrie'!E19)</f>
        <v/>
      </c>
      <c r="Q11" s="1071"/>
      <c r="R11" s="1071"/>
      <c r="S11" s="1070" t="str">
        <f>IF(S$3&lt;&gt;$A$1,"",'Bau-Geometrie'!F19)</f>
        <v/>
      </c>
      <c r="T11" s="1071"/>
      <c r="U11" s="1071"/>
      <c r="V11" s="1070" t="str">
        <f>IF(V$3&lt;&gt;$A$1,"",'Bau-Geometrie'!G19)</f>
        <v/>
      </c>
      <c r="W11" s="1071"/>
      <c r="X11" s="1071"/>
      <c r="Y11" s="1070" t="str">
        <f>IF(Y$3&lt;&gt;$A$1,"",'Bau-Geometrie'!H19)</f>
        <v/>
      </c>
      <c r="Z11" s="1071"/>
      <c r="AA11" s="1072"/>
      <c r="AB11" s="10"/>
    </row>
    <row r="12" spans="1:28" ht="14.25" customHeight="1">
      <c r="F12" s="427" t="s">
        <v>63</v>
      </c>
      <c r="G12" s="435"/>
      <c r="H12" s="131" t="s">
        <v>54</v>
      </c>
      <c r="I12" s="435"/>
      <c r="J12" s="1070" t="str">
        <f>IF(J$3&lt;&gt;$A$1,"",'Bau-Geometrie'!C20)</f>
        <v/>
      </c>
      <c r="K12" s="1071"/>
      <c r="L12" s="1071"/>
      <c r="M12" s="1070" t="str">
        <f>IF(M$3&lt;&gt;$A$1,"",'Bau-Geometrie'!D20)</f>
        <v/>
      </c>
      <c r="N12" s="1071"/>
      <c r="O12" s="1071"/>
      <c r="P12" s="1070" t="str">
        <f>IF(P$3&lt;&gt;$A$1,"",'Bau-Geometrie'!E20)</f>
        <v/>
      </c>
      <c r="Q12" s="1071"/>
      <c r="R12" s="1071"/>
      <c r="S12" s="1070" t="str">
        <f>IF(S$3&lt;&gt;$A$1,"",'Bau-Geometrie'!F20)</f>
        <v/>
      </c>
      <c r="T12" s="1071"/>
      <c r="U12" s="1071"/>
      <c r="V12" s="1070" t="str">
        <f>IF(V$3&lt;&gt;$A$1,"",'Bau-Geometrie'!G20)</f>
        <v/>
      </c>
      <c r="W12" s="1071"/>
      <c r="X12" s="1071"/>
      <c r="Y12" s="1070" t="str">
        <f>IF(Y$3&lt;&gt;$A$1,"",'Bau-Geometrie'!H20)</f>
        <v/>
      </c>
      <c r="Z12" s="1071"/>
      <c r="AA12" s="1072"/>
      <c r="AB12" s="10"/>
    </row>
    <row r="13" spans="1:28" ht="14.25" customHeight="1">
      <c r="F13" s="427" t="s">
        <v>65</v>
      </c>
      <c r="G13" s="435"/>
      <c r="H13" s="131" t="s">
        <v>54</v>
      </c>
      <c r="I13" s="435"/>
      <c r="J13" s="1070" t="str">
        <f>IF(J$3&lt;&gt;$A$1,"",'Bau-Geometrie'!C21)</f>
        <v/>
      </c>
      <c r="K13" s="1071"/>
      <c r="L13" s="1071"/>
      <c r="M13" s="1070" t="str">
        <f>IF(M$3&lt;&gt;$A$1,"",'Bau-Geometrie'!D21)</f>
        <v/>
      </c>
      <c r="N13" s="1071"/>
      <c r="O13" s="1071"/>
      <c r="P13" s="1070" t="str">
        <f>IF(P$3&lt;&gt;$A$1,"",'Bau-Geometrie'!E21)</f>
        <v/>
      </c>
      <c r="Q13" s="1071"/>
      <c r="R13" s="1071"/>
      <c r="S13" s="1070" t="str">
        <f>IF(S$3&lt;&gt;$A$1,"",'Bau-Geometrie'!F21)</f>
        <v/>
      </c>
      <c r="T13" s="1071"/>
      <c r="U13" s="1071"/>
      <c r="V13" s="1070" t="str">
        <f>IF(V$3&lt;&gt;$A$1,"",'Bau-Geometrie'!G21)</f>
        <v/>
      </c>
      <c r="W13" s="1071"/>
      <c r="X13" s="1071"/>
      <c r="Y13" s="1070" t="str">
        <f>IF(Y$3&lt;&gt;$A$1,"",'Bau-Geometrie'!H21)</f>
        <v/>
      </c>
      <c r="Z13" s="1071"/>
      <c r="AA13" s="1072"/>
      <c r="AB13" s="10"/>
    </row>
    <row r="14" spans="1:28" s="147" customFormat="1" ht="14.25" customHeight="1">
      <c r="F14" s="148" t="s">
        <v>67</v>
      </c>
      <c r="G14" s="149"/>
      <c r="H14" s="150" t="s">
        <v>54</v>
      </c>
      <c r="I14" s="149"/>
      <c r="J14" s="1076" t="str">
        <f>IF(J$3&lt;&gt;$A$1,"",'Bau-Geometrie'!C22)</f>
        <v/>
      </c>
      <c r="K14" s="1077"/>
      <c r="L14" s="1077"/>
      <c r="M14" s="1076" t="str">
        <f>IF(M$3&lt;&gt;$A$1,"",'Bau-Geometrie'!D22)</f>
        <v/>
      </c>
      <c r="N14" s="1077"/>
      <c r="O14" s="1077"/>
      <c r="P14" s="1076" t="str">
        <f>IF(P$3&lt;&gt;$A$1,"",'Bau-Geometrie'!E22)</f>
        <v/>
      </c>
      <c r="Q14" s="1077"/>
      <c r="R14" s="1077"/>
      <c r="S14" s="1076" t="str">
        <f>IF(S$3&lt;&gt;$A$1,"",'Bau-Geometrie'!F22)</f>
        <v/>
      </c>
      <c r="T14" s="1077"/>
      <c r="U14" s="1077"/>
      <c r="V14" s="1076" t="str">
        <f>IF(V$3&lt;&gt;$A$1,"",'Bau-Geometrie'!G22)</f>
        <v/>
      </c>
      <c r="W14" s="1077"/>
      <c r="X14" s="1077"/>
      <c r="Y14" s="1076" t="str">
        <f>IF(Y$3&lt;&gt;$A$1,"",'Bau-Geometrie'!H22)</f>
        <v/>
      </c>
      <c r="Z14" s="1077"/>
      <c r="AA14" s="1078"/>
      <c r="AB14" s="151"/>
    </row>
    <row r="15" spans="1:28" s="147" customFormat="1" ht="14.25" customHeight="1">
      <c r="F15" s="152" t="s">
        <v>78</v>
      </c>
      <c r="G15" s="154"/>
      <c r="H15" s="153" t="s">
        <v>25</v>
      </c>
      <c r="I15" s="166"/>
      <c r="J15" s="1073" t="str">
        <f>IF(J$3&lt;&gt;$A$1,"",'Bau-Geometrie'!C29)</f>
        <v/>
      </c>
      <c r="K15" s="1074"/>
      <c r="L15" s="1074"/>
      <c r="M15" s="1073" t="str">
        <f>IF(M$3&lt;&gt;$A$1,"",'Bau-Geometrie'!D29)</f>
        <v/>
      </c>
      <c r="N15" s="1074"/>
      <c r="O15" s="1074"/>
      <c r="P15" s="1073" t="str">
        <f>IF(P$3&lt;&gt;$A$1,"",'Bau-Geometrie'!E29)</f>
        <v/>
      </c>
      <c r="Q15" s="1074"/>
      <c r="R15" s="1074"/>
      <c r="S15" s="1073" t="str">
        <f>IF(S$3&lt;&gt;$A$1,"",'Bau-Geometrie'!F29)</f>
        <v/>
      </c>
      <c r="T15" s="1074"/>
      <c r="U15" s="1074"/>
      <c r="V15" s="1073" t="str">
        <f>IF(V$3&lt;&gt;$A$1,"",'Bau-Geometrie'!G29)</f>
        <v/>
      </c>
      <c r="W15" s="1074"/>
      <c r="X15" s="1074"/>
      <c r="Y15" s="1073" t="str">
        <f>IF(Y$3&lt;&gt;$A$1,"",'Bau-Geometrie'!H29)</f>
        <v/>
      </c>
      <c r="Z15" s="1074"/>
      <c r="AA15" s="1075"/>
      <c r="AB15" s="151"/>
    </row>
    <row r="16" spans="1:28" s="147" customFormat="1" ht="14.25" customHeight="1">
      <c r="F16" s="156" t="s">
        <v>462</v>
      </c>
      <c r="G16" s="167"/>
      <c r="H16" s="157" t="s">
        <v>62</v>
      </c>
      <c r="I16" s="167"/>
      <c r="J16" s="1079" t="str">
        <f>IF(J$3&lt;&gt;$A$1,"",'Bau-Geometrie'!C30)</f>
        <v/>
      </c>
      <c r="K16" s="1080"/>
      <c r="L16" s="1080"/>
      <c r="M16" s="1079" t="str">
        <f>IF(M$3&lt;&gt;$A$1,"",'Bau-Geometrie'!D30)</f>
        <v/>
      </c>
      <c r="N16" s="1080"/>
      <c r="O16" s="1080"/>
      <c r="P16" s="1079" t="str">
        <f>IF(P$3&lt;&gt;$A$1,"",'Bau-Geometrie'!E30)</f>
        <v/>
      </c>
      <c r="Q16" s="1080"/>
      <c r="R16" s="1080"/>
      <c r="S16" s="1079" t="str">
        <f>IF(S$3&lt;&gt;$A$1,"",'Bau-Geometrie'!F30)</f>
        <v/>
      </c>
      <c r="T16" s="1080"/>
      <c r="U16" s="1080"/>
      <c r="V16" s="1079" t="str">
        <f>IF(V$3&lt;&gt;$A$1,"",'Bau-Geometrie'!G30)</f>
        <v/>
      </c>
      <c r="W16" s="1080"/>
      <c r="X16" s="1080"/>
      <c r="Y16" s="1079" t="str">
        <f>IF(Y$3&lt;&gt;$A$1,"",'Bau-Geometrie'!H30)</f>
        <v/>
      </c>
      <c r="Z16" s="1080"/>
      <c r="AA16" s="1081"/>
      <c r="AB16" s="151"/>
    </row>
    <row r="17" spans="6:28" s="147" customFormat="1" ht="14.25" customHeight="1">
      <c r="F17" s="160" t="s">
        <v>459</v>
      </c>
      <c r="G17" s="167"/>
      <c r="H17" s="157" t="s">
        <v>62</v>
      </c>
      <c r="I17" s="167"/>
      <c r="J17" s="1079" t="str">
        <f>IF(J$3&lt;&gt;$A$1,"",'Bau-Geometrie'!C31)</f>
        <v/>
      </c>
      <c r="K17" s="1080"/>
      <c r="L17" s="1080"/>
      <c r="M17" s="1079" t="str">
        <f>IF(M$3&lt;&gt;$A$1,"",'Bau-Geometrie'!D31)</f>
        <v/>
      </c>
      <c r="N17" s="1080"/>
      <c r="O17" s="1080"/>
      <c r="P17" s="1079" t="str">
        <f>IF(P$3&lt;&gt;$A$1,"",'Bau-Geometrie'!E31)</f>
        <v/>
      </c>
      <c r="Q17" s="1080"/>
      <c r="R17" s="1080"/>
      <c r="S17" s="1079" t="str">
        <f>IF(S$3&lt;&gt;$A$1,"",'Bau-Geometrie'!F31)</f>
        <v/>
      </c>
      <c r="T17" s="1080"/>
      <c r="U17" s="1080"/>
      <c r="V17" s="1079" t="str">
        <f>IF(V$3&lt;&gt;$A$1,"",'Bau-Geometrie'!G31)</f>
        <v/>
      </c>
      <c r="W17" s="1080"/>
      <c r="X17" s="1080"/>
      <c r="Y17" s="1079" t="str">
        <f>IF(Y$3&lt;&gt;$A$1,"",'Bau-Geometrie'!H31)</f>
        <v/>
      </c>
      <c r="Z17" s="1080"/>
      <c r="AA17" s="1081"/>
      <c r="AB17" s="151"/>
    </row>
    <row r="18" spans="6:28" s="147" customFormat="1" ht="14.25" customHeight="1">
      <c r="F18" s="161" t="s">
        <v>460</v>
      </c>
      <c r="G18" s="168"/>
      <c r="H18" s="162" t="s">
        <v>504</v>
      </c>
      <c r="I18" s="169"/>
      <c r="J18" s="1085" t="str">
        <f>IF(J$3&lt;&gt;$A$1,"",'Bau-Geometrie'!C32)</f>
        <v/>
      </c>
      <c r="K18" s="1086"/>
      <c r="L18" s="1086"/>
      <c r="M18" s="1085" t="str">
        <f>IF(M$3&lt;&gt;$A$1,"",'Bau-Geometrie'!D32)</f>
        <v/>
      </c>
      <c r="N18" s="1086"/>
      <c r="O18" s="1086"/>
      <c r="P18" s="1085" t="str">
        <f>IF(P$3&lt;&gt;$A$1,"",'Bau-Geometrie'!E32)</f>
        <v/>
      </c>
      <c r="Q18" s="1086"/>
      <c r="R18" s="1086"/>
      <c r="S18" s="1085" t="str">
        <f>IF(S$3&lt;&gt;$A$1,"",'Bau-Geometrie'!F32)</f>
        <v/>
      </c>
      <c r="T18" s="1086"/>
      <c r="U18" s="1086"/>
      <c r="V18" s="1085" t="str">
        <f>IF(V$3&lt;&gt;$A$1,"",'Bau-Geometrie'!G32)</f>
        <v/>
      </c>
      <c r="W18" s="1086"/>
      <c r="X18" s="1086"/>
      <c r="Y18" s="1085" t="str">
        <f>IF(Y$3&lt;&gt;$A$1,"",'Bau-Geometrie'!H32)</f>
        <v/>
      </c>
      <c r="Z18" s="1086"/>
      <c r="AA18" s="1087"/>
      <c r="AB18" s="151"/>
    </row>
    <row r="19" spans="6:28" ht="14.25" customHeight="1">
      <c r="F19" s="433" t="s">
        <v>80</v>
      </c>
      <c r="G19" s="436"/>
      <c r="H19" s="140" t="s">
        <v>25</v>
      </c>
      <c r="I19" s="434"/>
      <c r="J19" s="1064" t="str">
        <f>IF(J$3&lt;&gt;$A$1,"",'Bau-Geometrie'!C33)</f>
        <v/>
      </c>
      <c r="K19" s="1065"/>
      <c r="L19" s="1065"/>
      <c r="M19" s="1064" t="str">
        <f>IF(M$3&lt;&gt;$A$1,"",'Bau-Geometrie'!D33)</f>
        <v/>
      </c>
      <c r="N19" s="1065"/>
      <c r="O19" s="1065"/>
      <c r="P19" s="1064" t="str">
        <f>IF(P$3&lt;&gt;$A$1,"",'Bau-Geometrie'!E33)</f>
        <v/>
      </c>
      <c r="Q19" s="1065"/>
      <c r="R19" s="1065"/>
      <c r="S19" s="1064" t="str">
        <f>IF(S$3&lt;&gt;$A$1,"",'Bau-Geometrie'!F33)</f>
        <v/>
      </c>
      <c r="T19" s="1065"/>
      <c r="U19" s="1065"/>
      <c r="V19" s="1082" t="str">
        <f>IF(V$3&lt;&gt;$A$1,"",'Bau-Geometrie'!G33)</f>
        <v/>
      </c>
      <c r="W19" s="1083"/>
      <c r="X19" s="1083"/>
      <c r="Y19" s="1082" t="str">
        <f>IF(Y$3&lt;&gt;$A$1,"",'Bau-Geometrie'!H33)</f>
        <v/>
      </c>
      <c r="Z19" s="1083"/>
      <c r="AA19" s="1084"/>
      <c r="AB19" s="10"/>
    </row>
    <row r="20" spans="6:28" ht="14.25" customHeight="1">
      <c r="F20" s="437" t="s">
        <v>462</v>
      </c>
      <c r="G20" s="893"/>
      <c r="H20" s="131" t="s">
        <v>62</v>
      </c>
      <c r="I20" s="429"/>
      <c r="J20" s="1058" t="str">
        <f>IF(J$3&lt;&gt;$A$1,"",'Bau-Geometrie'!C34)</f>
        <v/>
      </c>
      <c r="K20" s="1059"/>
      <c r="L20" s="1059"/>
      <c r="M20" s="1058" t="str">
        <f>IF(M$3&lt;&gt;$A$1,"",'Bau-Geometrie'!D34)</f>
        <v/>
      </c>
      <c r="N20" s="1059"/>
      <c r="O20" s="1059"/>
      <c r="P20" s="1058" t="str">
        <f>IF(P$3&lt;&gt;$A$1,"",'Bau-Geometrie'!E34)</f>
        <v/>
      </c>
      <c r="Q20" s="1059"/>
      <c r="R20" s="1059"/>
      <c r="S20" s="1058" t="str">
        <f>IF(S$3&lt;&gt;$A$1,"",'Bau-Geometrie'!F34)</f>
        <v/>
      </c>
      <c r="T20" s="1059"/>
      <c r="U20" s="1059"/>
      <c r="V20" s="1058" t="str">
        <f>IF(V$3&lt;&gt;$A$1,"",'Bau-Geometrie'!G34)</f>
        <v/>
      </c>
      <c r="W20" s="1059"/>
      <c r="X20" s="1059"/>
      <c r="Y20" s="1058" t="str">
        <f>IF(Y$3&lt;&gt;$A$1,"",'Bau-Geometrie'!H34)</f>
        <v/>
      </c>
      <c r="Z20" s="1059"/>
      <c r="AA20" s="1060"/>
      <c r="AB20" s="10"/>
    </row>
    <row r="21" spans="6:28" ht="14.25" customHeight="1">
      <c r="F21" s="427" t="s">
        <v>459</v>
      </c>
      <c r="G21" s="893"/>
      <c r="H21" s="131" t="s">
        <v>62</v>
      </c>
      <c r="I21" s="429"/>
      <c r="J21" s="1058" t="str">
        <f>IF(J$3&lt;&gt;$A$1,"",'Bau-Geometrie'!C35)</f>
        <v/>
      </c>
      <c r="K21" s="1059"/>
      <c r="L21" s="1059"/>
      <c r="M21" s="1058" t="str">
        <f>IF(M$3&lt;&gt;$A$1,"",'Bau-Geometrie'!D35)</f>
        <v/>
      </c>
      <c r="N21" s="1059"/>
      <c r="O21" s="1059"/>
      <c r="P21" s="1058" t="str">
        <f>IF(P$3&lt;&gt;$A$1,"",'Bau-Geometrie'!E35)</f>
        <v/>
      </c>
      <c r="Q21" s="1059"/>
      <c r="R21" s="1059"/>
      <c r="S21" s="1058" t="str">
        <f>IF(S$3&lt;&gt;$A$1,"",'Bau-Geometrie'!F35)</f>
        <v/>
      </c>
      <c r="T21" s="1059"/>
      <c r="U21" s="1059"/>
      <c r="V21" s="1058" t="str">
        <f>IF(V$3&lt;&gt;$A$1,"",'Bau-Geometrie'!G35)</f>
        <v/>
      </c>
      <c r="W21" s="1059"/>
      <c r="X21" s="1059"/>
      <c r="Y21" s="1058" t="str">
        <f>IF(Y$3&lt;&gt;$A$1,"",'Bau-Geometrie'!H35)</f>
        <v/>
      </c>
      <c r="Z21" s="1059"/>
      <c r="AA21" s="1060"/>
      <c r="AB21" s="10"/>
    </row>
    <row r="22" spans="6:28" ht="14.25" customHeight="1">
      <c r="F22" s="438" t="s">
        <v>460</v>
      </c>
      <c r="G22" s="894"/>
      <c r="H22" s="136" t="s">
        <v>461</v>
      </c>
      <c r="I22" s="439"/>
      <c r="J22" s="1090" t="str">
        <f>IF(J$3&lt;&gt;$A$1,"",'Bau-Geometrie'!C36)</f>
        <v/>
      </c>
      <c r="K22" s="1091"/>
      <c r="L22" s="1091"/>
      <c r="M22" s="1090" t="str">
        <f>IF(M$3&lt;&gt;$A$1,"",'Bau-Geometrie'!D36)</f>
        <v/>
      </c>
      <c r="N22" s="1091"/>
      <c r="O22" s="1091"/>
      <c r="P22" s="1090" t="str">
        <f>IF(P$3&lt;&gt;$A$1,"",'Bau-Geometrie'!E36)</f>
        <v/>
      </c>
      <c r="Q22" s="1091"/>
      <c r="R22" s="1091"/>
      <c r="S22" s="1090" t="str">
        <f>IF(S$3&lt;&gt;$A$1,"",'Bau-Geometrie'!F36)</f>
        <v/>
      </c>
      <c r="T22" s="1091"/>
      <c r="U22" s="1091"/>
      <c r="V22" s="1090" t="str">
        <f>IF(V$3&lt;&gt;$A$1,"",'Bau-Geometrie'!G36)</f>
        <v/>
      </c>
      <c r="W22" s="1091"/>
      <c r="X22" s="1091"/>
      <c r="Y22" s="1090" t="str">
        <f>IF(Y$3&lt;&gt;$A$1,"",'Bau-Geometrie'!H36)</f>
        <v/>
      </c>
      <c r="Z22" s="1091"/>
      <c r="AA22" s="1092"/>
      <c r="AB22" s="10"/>
    </row>
    <row r="23" spans="6:28" s="147" customFormat="1" ht="14.25" customHeight="1">
      <c r="F23" s="152" t="s">
        <v>82</v>
      </c>
      <c r="G23" s="153"/>
      <c r="H23" s="153" t="s">
        <v>25</v>
      </c>
      <c r="I23" s="154"/>
      <c r="J23" s="1088" t="str">
        <f>IF(J$3&lt;&gt;$A$1,"",'Bau-Geometrie'!C37)</f>
        <v/>
      </c>
      <c r="K23" s="1089"/>
      <c r="L23" s="1089"/>
      <c r="M23" s="1088" t="str">
        <f>IF(M$3&lt;&gt;$A$1,"",'Bau-Geometrie'!D37)</f>
        <v/>
      </c>
      <c r="N23" s="1089"/>
      <c r="O23" s="1089"/>
      <c r="P23" s="1088" t="str">
        <f>IF(P$3&lt;&gt;$A$1,"",'Bau-Geometrie'!E37)</f>
        <v/>
      </c>
      <c r="Q23" s="1089"/>
      <c r="R23" s="1089"/>
      <c r="S23" s="1088" t="str">
        <f>IF(S$3&lt;&gt;$A$1,"",'Bau-Geometrie'!F37)</f>
        <v/>
      </c>
      <c r="T23" s="1089"/>
      <c r="U23" s="1089"/>
      <c r="V23" s="1073" t="str">
        <f>IF(V$3&lt;&gt;$A$1,"",'Bau-Geometrie'!G37)</f>
        <v/>
      </c>
      <c r="W23" s="1074"/>
      <c r="X23" s="1074"/>
      <c r="Y23" s="1073" t="str">
        <f>IF(Y$3&lt;&gt;$A$1,"",'Bau-Geometrie'!H37)</f>
        <v/>
      </c>
      <c r="Z23" s="1074"/>
      <c r="AA23" s="1075"/>
      <c r="AB23" s="151"/>
    </row>
    <row r="24" spans="6:28" s="147" customFormat="1" ht="14.25" customHeight="1">
      <c r="F24" s="156" t="s">
        <v>462</v>
      </c>
      <c r="G24" s="157"/>
      <c r="H24" s="157" t="s">
        <v>62</v>
      </c>
      <c r="I24" s="158"/>
      <c r="J24" s="1079" t="str">
        <f>IF(J$3&lt;&gt;$A$1,"",'Bau-Geometrie'!C38)</f>
        <v/>
      </c>
      <c r="K24" s="1080"/>
      <c r="L24" s="1080"/>
      <c r="M24" s="1079" t="str">
        <f>IF(M$3&lt;&gt;$A$1,"",'Bau-Geometrie'!D38)</f>
        <v/>
      </c>
      <c r="N24" s="1080"/>
      <c r="O24" s="1080"/>
      <c r="P24" s="1079" t="str">
        <f>IF(P$3&lt;&gt;$A$1,"",'Bau-Geometrie'!E38)</f>
        <v/>
      </c>
      <c r="Q24" s="1080"/>
      <c r="R24" s="1080"/>
      <c r="S24" s="1079" t="str">
        <f>IF(S$3&lt;&gt;$A$1,"",'Bau-Geometrie'!F38)</f>
        <v/>
      </c>
      <c r="T24" s="1080"/>
      <c r="U24" s="1080"/>
      <c r="V24" s="1079" t="str">
        <f>IF(V$3&lt;&gt;$A$1,"",'Bau-Geometrie'!G38)</f>
        <v/>
      </c>
      <c r="W24" s="1080"/>
      <c r="X24" s="1080"/>
      <c r="Y24" s="1079" t="str">
        <f>IF(Y$3&lt;&gt;$A$1,"",'Bau-Geometrie'!H38)</f>
        <v/>
      </c>
      <c r="Z24" s="1080"/>
      <c r="AA24" s="1081"/>
      <c r="AB24" s="151"/>
    </row>
    <row r="25" spans="6:28" s="147" customFormat="1" ht="14.25" customHeight="1">
      <c r="F25" s="160" t="s">
        <v>459</v>
      </c>
      <c r="G25" s="157"/>
      <c r="H25" s="157" t="s">
        <v>62</v>
      </c>
      <c r="I25" s="158"/>
      <c r="J25" s="1079" t="str">
        <f>IF(J$3&lt;&gt;$A$1,"",'Bau-Geometrie'!C39)</f>
        <v/>
      </c>
      <c r="K25" s="1080"/>
      <c r="L25" s="1080"/>
      <c r="M25" s="1079" t="str">
        <f>IF(M$3&lt;&gt;$A$1,"",'Bau-Geometrie'!D39)</f>
        <v/>
      </c>
      <c r="N25" s="1080"/>
      <c r="O25" s="1080"/>
      <c r="P25" s="1079" t="str">
        <f>IF(P$3&lt;&gt;$A$1,"",'Bau-Geometrie'!E39)</f>
        <v/>
      </c>
      <c r="Q25" s="1080"/>
      <c r="R25" s="1080"/>
      <c r="S25" s="1079" t="str">
        <f>IF(S$3&lt;&gt;$A$1,"",'Bau-Geometrie'!F39)</f>
        <v/>
      </c>
      <c r="T25" s="1080"/>
      <c r="U25" s="1080"/>
      <c r="V25" s="1079" t="str">
        <f>IF(V$3&lt;&gt;$A$1,"",'Bau-Geometrie'!G39)</f>
        <v/>
      </c>
      <c r="W25" s="1080"/>
      <c r="X25" s="1080"/>
      <c r="Y25" s="1079" t="str">
        <f>IF(Y$3&lt;&gt;$A$1,"",'Bau-Geometrie'!H39)</f>
        <v/>
      </c>
      <c r="Z25" s="1080"/>
      <c r="AA25" s="1081"/>
      <c r="AB25" s="151"/>
    </row>
    <row r="26" spans="6:28" s="147" customFormat="1" ht="14.25" customHeight="1">
      <c r="F26" s="161" t="s">
        <v>460</v>
      </c>
      <c r="G26" s="162"/>
      <c r="H26" s="162" t="s">
        <v>504</v>
      </c>
      <c r="I26" s="163"/>
      <c r="J26" s="1085" t="str">
        <f>IF(J$3&lt;&gt;$A$1,"",'Bau-Geometrie'!C40)</f>
        <v/>
      </c>
      <c r="K26" s="1086"/>
      <c r="L26" s="1086"/>
      <c r="M26" s="1085" t="str">
        <f>IF(M$3&lt;&gt;$A$1,"",'Bau-Geometrie'!D40)</f>
        <v/>
      </c>
      <c r="N26" s="1086"/>
      <c r="O26" s="1086"/>
      <c r="P26" s="1085" t="str">
        <f>IF(P$3&lt;&gt;$A$1,"",'Bau-Geometrie'!E40)</f>
        <v/>
      </c>
      <c r="Q26" s="1086"/>
      <c r="R26" s="1086"/>
      <c r="S26" s="1085" t="str">
        <f>IF(S$3&lt;&gt;$A$1,"",'Bau-Geometrie'!F40)</f>
        <v/>
      </c>
      <c r="T26" s="1086"/>
      <c r="U26" s="1086"/>
      <c r="V26" s="1085" t="str">
        <f>IF(V$3&lt;&gt;$A$1,"",'Bau-Geometrie'!G40)</f>
        <v/>
      </c>
      <c r="W26" s="1086"/>
      <c r="X26" s="1086"/>
      <c r="Y26" s="1085" t="str">
        <f>IF(Y$3&lt;&gt;$A$1,"",'Bau-Geometrie'!H40)</f>
        <v/>
      </c>
      <c r="Z26" s="1086"/>
      <c r="AA26" s="1087"/>
      <c r="AB26" s="151"/>
    </row>
    <row r="27" spans="6:28" s="147" customFormat="1" ht="14.25" customHeight="1">
      <c r="F27" s="164" t="s">
        <v>463</v>
      </c>
      <c r="G27" s="895"/>
      <c r="H27" s="890" t="s">
        <v>505</v>
      </c>
      <c r="I27" s="165"/>
      <c r="J27" s="1093" t="str">
        <f>IF(J$3&lt;&gt;$A$1,"",'Bau-Geometrie'!C41)</f>
        <v/>
      </c>
      <c r="K27" s="1094"/>
      <c r="L27" s="1094"/>
      <c r="M27" s="1093" t="str">
        <f>IF(M$3&lt;&gt;$A$1,"",'Bau-Geometrie'!D41)</f>
        <v/>
      </c>
      <c r="N27" s="1094"/>
      <c r="O27" s="1094"/>
      <c r="P27" s="1093" t="str">
        <f>IF(P$3&lt;&gt;$A$1,"",'Bau-Geometrie'!E41)</f>
        <v/>
      </c>
      <c r="Q27" s="1094"/>
      <c r="R27" s="1094"/>
      <c r="S27" s="1093" t="str">
        <f>IF(S$3&lt;&gt;$A$1,"",'Bau-Geometrie'!F41)</f>
        <v/>
      </c>
      <c r="T27" s="1094"/>
      <c r="U27" s="1094"/>
      <c r="V27" s="1093" t="str">
        <f>IF(V$3&lt;&gt;$A$1,"",'Bau-Geometrie'!G41)</f>
        <v/>
      </c>
      <c r="W27" s="1094"/>
      <c r="X27" s="1094"/>
      <c r="Y27" s="1093" t="str">
        <f>IF(Y$3&lt;&gt;$A$1,"",'Bau-Geometrie'!H41)</f>
        <v/>
      </c>
      <c r="Z27" s="1094"/>
      <c r="AA27" s="1095"/>
      <c r="AB27" s="151"/>
    </row>
    <row r="28" spans="6:28" ht="14.25" customHeight="1">
      <c r="F28" s="433" t="s">
        <v>85</v>
      </c>
      <c r="G28" s="892"/>
      <c r="H28" s="140" t="s">
        <v>25</v>
      </c>
      <c r="I28" s="436"/>
      <c r="J28" s="1064" t="str">
        <f>IF(J$3&lt;&gt;$A$1,"",'Bau-Geometrie'!C42)</f>
        <v/>
      </c>
      <c r="K28" s="1065"/>
      <c r="L28" s="1065"/>
      <c r="M28" s="1064" t="str">
        <f>IF(M$3&lt;&gt;$A$1,"",'Bau-Geometrie'!D42)</f>
        <v/>
      </c>
      <c r="N28" s="1065"/>
      <c r="O28" s="1065"/>
      <c r="P28" s="1064" t="str">
        <f>IF(P$3&lt;&gt;$A$1,"",'Bau-Geometrie'!E42)</f>
        <v/>
      </c>
      <c r="Q28" s="1065"/>
      <c r="R28" s="1065"/>
      <c r="S28" s="1064" t="str">
        <f>IF(S$3&lt;&gt;$A$1,"",'Bau-Geometrie'!F42)</f>
        <v/>
      </c>
      <c r="T28" s="1065"/>
      <c r="U28" s="1065"/>
      <c r="V28" s="1082" t="str">
        <f>IF(V$3&lt;&gt;$A$1,"",'Bau-Geometrie'!G42)</f>
        <v/>
      </c>
      <c r="W28" s="1083"/>
      <c r="X28" s="1083"/>
      <c r="Y28" s="1082" t="str">
        <f>IF(Y$3&lt;&gt;$A$1,"",'Bau-Geometrie'!H42)</f>
        <v/>
      </c>
      <c r="Z28" s="1083"/>
      <c r="AA28" s="1084"/>
      <c r="AB28" s="10"/>
    </row>
    <row r="29" spans="6:28" ht="14.25" customHeight="1">
      <c r="F29" s="437" t="s">
        <v>462</v>
      </c>
      <c r="G29" s="893"/>
      <c r="H29" s="131" t="s">
        <v>62</v>
      </c>
      <c r="I29" s="428"/>
      <c r="J29" s="1058" t="str">
        <f>IF(J$3&lt;&gt;$A$1,"",'Bau-Geometrie'!C43)</f>
        <v/>
      </c>
      <c r="K29" s="1059"/>
      <c r="L29" s="1059"/>
      <c r="M29" s="1058" t="str">
        <f>IF(M$3&lt;&gt;$A$1,"",'Bau-Geometrie'!D43)</f>
        <v/>
      </c>
      <c r="N29" s="1059"/>
      <c r="O29" s="1059"/>
      <c r="P29" s="1058" t="str">
        <f>IF(P$3&lt;&gt;$A$1,"",'Bau-Geometrie'!E43)</f>
        <v/>
      </c>
      <c r="Q29" s="1059"/>
      <c r="R29" s="1059"/>
      <c r="S29" s="1058" t="str">
        <f>IF(S$3&lt;&gt;$A$1,"",'Bau-Geometrie'!F43)</f>
        <v/>
      </c>
      <c r="T29" s="1059"/>
      <c r="U29" s="1059"/>
      <c r="V29" s="1058" t="str">
        <f>IF(V$3&lt;&gt;$A$1,"",'Bau-Geometrie'!G43)</f>
        <v/>
      </c>
      <c r="W29" s="1059"/>
      <c r="X29" s="1059"/>
      <c r="Y29" s="1058" t="str">
        <f>IF(Y$3&lt;&gt;$A$1,"",'Bau-Geometrie'!H43)</f>
        <v/>
      </c>
      <c r="Z29" s="1059"/>
      <c r="AA29" s="1060"/>
      <c r="AB29" s="10"/>
    </row>
    <row r="30" spans="6:28" ht="14.25" customHeight="1">
      <c r="F30" s="427" t="s">
        <v>459</v>
      </c>
      <c r="G30" s="893"/>
      <c r="H30" s="131" t="s">
        <v>62</v>
      </c>
      <c r="I30" s="428"/>
      <c r="J30" s="1058" t="str">
        <f>IF(J$3&lt;&gt;$A$1,"",'Bau-Geometrie'!C44)</f>
        <v/>
      </c>
      <c r="K30" s="1059"/>
      <c r="L30" s="1059"/>
      <c r="M30" s="1058" t="str">
        <f>IF(M$3&lt;&gt;$A$1,"",'Bau-Geometrie'!D44)</f>
        <v/>
      </c>
      <c r="N30" s="1059"/>
      <c r="O30" s="1059"/>
      <c r="P30" s="1058" t="str">
        <f>IF(P$3&lt;&gt;$A$1,"",'Bau-Geometrie'!E44)</f>
        <v/>
      </c>
      <c r="Q30" s="1059"/>
      <c r="R30" s="1059"/>
      <c r="S30" s="1058" t="str">
        <f>IF(S$3&lt;&gt;$A$1,"",'Bau-Geometrie'!F44)</f>
        <v/>
      </c>
      <c r="T30" s="1059"/>
      <c r="U30" s="1059"/>
      <c r="V30" s="1058" t="str">
        <f>IF(V$3&lt;&gt;$A$1,"",'Bau-Geometrie'!G44)</f>
        <v/>
      </c>
      <c r="W30" s="1059"/>
      <c r="X30" s="1059"/>
      <c r="Y30" s="1058" t="str">
        <f>IF(Y$3&lt;&gt;$A$1,"",'Bau-Geometrie'!H44)</f>
        <v/>
      </c>
      <c r="Z30" s="1059"/>
      <c r="AA30" s="1060"/>
      <c r="AB30" s="10"/>
    </row>
    <row r="31" spans="6:28" ht="14.25" customHeight="1">
      <c r="F31" s="438" t="s">
        <v>460</v>
      </c>
      <c r="G31" s="894"/>
      <c r="H31" s="136" t="s">
        <v>461</v>
      </c>
      <c r="I31" s="440"/>
      <c r="J31" s="1090" t="str">
        <f>IF(J$3&lt;&gt;$A$1,"",'Bau-Geometrie'!C45)</f>
        <v/>
      </c>
      <c r="K31" s="1091"/>
      <c r="L31" s="1091"/>
      <c r="M31" s="1090" t="str">
        <f>IF(M$3&lt;&gt;$A$1,"",'Bau-Geometrie'!D45)</f>
        <v/>
      </c>
      <c r="N31" s="1091"/>
      <c r="O31" s="1091"/>
      <c r="P31" s="1090" t="str">
        <f>IF(P$3&lt;&gt;$A$1,"",'Bau-Geometrie'!E45)</f>
        <v/>
      </c>
      <c r="Q31" s="1091"/>
      <c r="R31" s="1091"/>
      <c r="S31" s="1090" t="str">
        <f>IF(S$3&lt;&gt;$A$1,"",'Bau-Geometrie'!F45)</f>
        <v/>
      </c>
      <c r="T31" s="1091"/>
      <c r="U31" s="1091"/>
      <c r="V31" s="1090" t="str">
        <f>IF(V$3&lt;&gt;$A$1,"",'Bau-Geometrie'!G45)</f>
        <v/>
      </c>
      <c r="W31" s="1091"/>
      <c r="X31" s="1091"/>
      <c r="Y31" s="1090" t="str">
        <f>IF(Y$3&lt;&gt;$A$1,"",'Bau-Geometrie'!H45)</f>
        <v/>
      </c>
      <c r="Z31" s="1091"/>
      <c r="AA31" s="1092"/>
      <c r="AB31" s="10"/>
    </row>
    <row r="32" spans="6:28" ht="14.25" customHeight="1">
      <c r="F32" s="441" t="s">
        <v>88</v>
      </c>
      <c r="G32" s="442"/>
      <c r="H32" s="141" t="s">
        <v>5</v>
      </c>
      <c r="I32" s="443"/>
      <c r="J32" s="1096" t="str">
        <f>IF(J$3&lt;&gt;$A$1,"",'Bau-Geometrie'!C46)</f>
        <v/>
      </c>
      <c r="K32" s="1097"/>
      <c r="L32" s="1097"/>
      <c r="M32" s="1096" t="str">
        <f>IF(M$3&lt;&gt;$A$1,"",'Bau-Geometrie'!D46)</f>
        <v/>
      </c>
      <c r="N32" s="1097"/>
      <c r="O32" s="1097"/>
      <c r="P32" s="1096" t="str">
        <f>IF(P$3&lt;&gt;$A$1,"",'Bau-Geometrie'!E46)</f>
        <v/>
      </c>
      <c r="Q32" s="1097"/>
      <c r="R32" s="1097"/>
      <c r="S32" s="1096" t="str">
        <f>IF(S$3&lt;&gt;$A$1,"",'Bau-Geometrie'!F46)</f>
        <v/>
      </c>
      <c r="T32" s="1097"/>
      <c r="U32" s="1097"/>
      <c r="V32" s="1096" t="str">
        <f>IF(V$3&lt;&gt;$A$1,"",'Bau-Geometrie'!G46)</f>
        <v/>
      </c>
      <c r="W32" s="1097"/>
      <c r="X32" s="1097"/>
      <c r="Y32" s="1096" t="str">
        <f>IF(Y$3&lt;&gt;$A$1,"",'Bau-Geometrie'!H46)</f>
        <v/>
      </c>
      <c r="Z32" s="1097"/>
      <c r="AA32" s="1098"/>
      <c r="AB32" s="10"/>
    </row>
    <row r="33" spans="1:28" ht="14.25" customHeight="1">
      <c r="F33" s="433" t="s">
        <v>506</v>
      </c>
      <c r="G33" s="444"/>
      <c r="H33" s="140" t="s">
        <v>461</v>
      </c>
      <c r="I33" s="436"/>
      <c r="J33" s="1082" t="str">
        <f>IF(J$3&lt;&gt;$A$1,"",'Bau-Geometrie'!C47)</f>
        <v/>
      </c>
      <c r="K33" s="1083"/>
      <c r="L33" s="1083"/>
      <c r="M33" s="1082" t="str">
        <f>IF(M$3&lt;&gt;$A$1,"",'Bau-Geometrie'!D47)</f>
        <v/>
      </c>
      <c r="N33" s="1083"/>
      <c r="O33" s="1083"/>
      <c r="P33" s="1082" t="str">
        <f>IF(P$3&lt;&gt;$A$1,"",'Bau-Geometrie'!E47)</f>
        <v/>
      </c>
      <c r="Q33" s="1083"/>
      <c r="R33" s="1083"/>
      <c r="S33" s="1082" t="str">
        <f>IF(S$3&lt;&gt;$A$1,"",'Bau-Geometrie'!F47)</f>
        <v/>
      </c>
      <c r="T33" s="1083"/>
      <c r="U33" s="1083"/>
      <c r="V33" s="1082" t="str">
        <f>IF(V$3&lt;&gt;$A$1,"",'Bau-Geometrie'!G47)</f>
        <v/>
      </c>
      <c r="W33" s="1083"/>
      <c r="X33" s="1083"/>
      <c r="Y33" s="1082" t="str">
        <f>IF(Y$3&lt;&gt;$A$1,"",'Bau-Geometrie'!H47)</f>
        <v/>
      </c>
      <c r="Z33" s="1083"/>
      <c r="AA33" s="1084"/>
      <c r="AB33" s="10"/>
    </row>
    <row r="34" spans="1:28" ht="14.25" customHeight="1">
      <c r="E34" s="55"/>
      <c r="F34" s="877" t="s">
        <v>507</v>
      </c>
      <c r="G34" s="135"/>
      <c r="H34" s="136" t="s">
        <v>461</v>
      </c>
      <c r="I34" s="439"/>
      <c r="J34" s="1090" t="str">
        <f>IF(J$3&lt;&gt;$A$1,"",'Bau-Geometrie'!C48)</f>
        <v/>
      </c>
      <c r="K34" s="1091"/>
      <c r="L34" s="1091"/>
      <c r="M34" s="1090" t="str">
        <f>IF(M$3&lt;&gt;$A$1,"",'Bau-Geometrie'!D48)</f>
        <v/>
      </c>
      <c r="N34" s="1091"/>
      <c r="O34" s="1091"/>
      <c r="P34" s="1090" t="str">
        <f>IF(P$3&lt;&gt;$A$1,"",'Bau-Geometrie'!E48)</f>
        <v/>
      </c>
      <c r="Q34" s="1091"/>
      <c r="R34" s="1091"/>
      <c r="S34" s="1090" t="str">
        <f>IF(S$3&lt;&gt;$A$1,"",'Bau-Geometrie'!F48)</f>
        <v/>
      </c>
      <c r="T34" s="1091"/>
      <c r="U34" s="1091"/>
      <c r="V34" s="1090" t="str">
        <f>IF(V$3&lt;&gt;$A$1,"",'Bau-Geometrie'!G48)</f>
        <v/>
      </c>
      <c r="W34" s="1091"/>
      <c r="X34" s="1091"/>
      <c r="Y34" s="1090" t="str">
        <f>IF(Y$3&lt;&gt;$A$1,"",'Bau-Geometrie'!H48)</f>
        <v/>
      </c>
      <c r="Z34" s="1091"/>
      <c r="AA34" s="1092"/>
      <c r="AB34" s="10"/>
    </row>
    <row r="35" spans="1:28" ht="14.25" customHeight="1">
      <c r="F35" s="175" t="s">
        <v>52</v>
      </c>
      <c r="G35" s="550"/>
      <c r="H35" s="898" t="s">
        <v>5</v>
      </c>
      <c r="I35" s="551"/>
      <c r="J35" s="1099" t="str">
        <f>IF(J$3&lt;&gt;$A$1,"",Tunneldaten!E13)</f>
        <v/>
      </c>
      <c r="K35" s="1100"/>
      <c r="L35" s="1101"/>
      <c r="M35" s="1099" t="str">
        <f>IF(M$3&lt;&gt;$A$1,"",Tunneldaten!F13)</f>
        <v/>
      </c>
      <c r="N35" s="1100"/>
      <c r="O35" s="1101"/>
      <c r="P35" s="1099" t="str">
        <f>IF(P$3&lt;&gt;$A$1,"",Tunneldaten!G13)</f>
        <v/>
      </c>
      <c r="Q35" s="1100"/>
      <c r="R35" s="1101"/>
      <c r="S35" s="1099" t="str">
        <f>IF(S$3&lt;&gt;$A$1,"",Tunneldaten!H13)</f>
        <v/>
      </c>
      <c r="T35" s="1100"/>
      <c r="U35" s="1101"/>
      <c r="V35" s="1099" t="str">
        <f>IF(V$3&lt;&gt;$A$1,"",Tunneldaten!I13)</f>
        <v/>
      </c>
      <c r="W35" s="1100"/>
      <c r="X35" s="1101"/>
      <c r="Y35" s="1099" t="str">
        <f>IF(Y$3&lt;&gt;$A$1,"",Tunneldaten!J13)</f>
        <v/>
      </c>
      <c r="Z35" s="1100"/>
      <c r="AA35" s="1101"/>
      <c r="AB35" s="10"/>
    </row>
    <row r="36" spans="1:28" ht="14.25" customHeight="1">
      <c r="F36" s="177" t="s">
        <v>508</v>
      </c>
      <c r="G36" s="549"/>
      <c r="H36" s="903" t="s">
        <v>54</v>
      </c>
      <c r="I36" s="426"/>
      <c r="J36" s="1043" t="str">
        <f>IF(J$3&lt;&gt;$A$1,"",IF(J$35=1,Tunneldaten!$E$57,IF(J$35=2,Tunneldaten!$F$57,IF(J$35=3,Tunneldaten!$G$57,Tunneldaten!$H$57))))</f>
        <v/>
      </c>
      <c r="K36" s="1044"/>
      <c r="L36" s="1045"/>
      <c r="M36" s="1043" t="str">
        <f>IF(M$3&lt;&gt;$A$1,"",IF(M$35=1,Tunneldaten!$E$57,IF(M$35=2,Tunneldaten!$F$57,IF(M$35=3,Tunneldaten!$G$57,Tunneldaten!$H$57))))</f>
        <v/>
      </c>
      <c r="N36" s="1044"/>
      <c r="O36" s="1045"/>
      <c r="P36" s="1043" t="str">
        <f>IF(P$3&lt;&gt;$A$1,"",IF(P$35=1,Tunneldaten!$E$57,IF(P$35=2,Tunneldaten!$F$57,IF(P$35=3,Tunneldaten!$G$57,Tunneldaten!$H$57))))</f>
        <v/>
      </c>
      <c r="Q36" s="1044"/>
      <c r="R36" s="1045"/>
      <c r="S36" s="1043" t="str">
        <f>IF(S$3&lt;&gt;$A$1,"",IF(S$35=1,Tunneldaten!$E$57,IF(S$35=2,Tunneldaten!$F$57,IF(S$35=3,Tunneldaten!$G$57,Tunneldaten!$H$57))))</f>
        <v/>
      </c>
      <c r="T36" s="1044"/>
      <c r="U36" s="1045"/>
      <c r="V36" s="1043" t="str">
        <f>IF(V$3&lt;&gt;$A$1,"",IF(V$35=1,Tunneldaten!$E$57,IF(V$35=2,Tunneldaten!$F$57,IF(V$35=3,Tunneldaten!$G$57,Tunneldaten!$H$57))))</f>
        <v/>
      </c>
      <c r="W36" s="1044"/>
      <c r="X36" s="1045"/>
      <c r="Y36" s="1043" t="str">
        <f>IF(Y$3&lt;&gt;$A$1,"",IF(Y$35=1,Tunneldaten!$E$57,IF(Y$35=2,Tunneldaten!$F$57,IF(Y$35=3,Tunneldaten!$G$57,Tunneldaten!$H$57))))</f>
        <v/>
      </c>
      <c r="Z36" s="1044"/>
      <c r="AA36" s="1045"/>
      <c r="AB36" s="10"/>
    </row>
    <row r="37" spans="1:28" ht="14.25" customHeight="1">
      <c r="F37" s="180" t="s">
        <v>509</v>
      </c>
      <c r="G37" s="546"/>
      <c r="H37" s="547" t="s">
        <v>54</v>
      </c>
      <c r="I37" s="429"/>
      <c r="J37" s="1043" t="str">
        <f>IF(J$3&lt;&gt;$A$1,"",IF(J$35=1,Tunneldaten!$E$58,IF(J$35=2,Tunneldaten!$F$58,IF(J$35=3,Tunneldaten!$G$58,Tunneldaten!$H$58))))</f>
        <v/>
      </c>
      <c r="K37" s="1044"/>
      <c r="L37" s="1045"/>
      <c r="M37" s="1043" t="str">
        <f>IF(M$3&lt;&gt;$A$1,"",IF(M$35=1,Tunneldaten!$E$58,IF(M$35=2,Tunneldaten!$F$58,IF(M$35=3,Tunneldaten!$G$58,Tunneldaten!$H$58))))</f>
        <v/>
      </c>
      <c r="N37" s="1044"/>
      <c r="O37" s="1045"/>
      <c r="P37" s="1043" t="str">
        <f>IF(P$3&lt;&gt;$A$1,"",IF(P$35=1,Tunneldaten!$E$58,IF(P$35=2,Tunneldaten!$F$58,IF(P$35=3,Tunneldaten!$G$58,Tunneldaten!$H$58))))</f>
        <v/>
      </c>
      <c r="Q37" s="1044"/>
      <c r="R37" s="1045"/>
      <c r="S37" s="1043" t="str">
        <f>IF(S$3&lt;&gt;$A$1,"",IF(S$35=1,Tunneldaten!$E$58,IF(S$35=2,Tunneldaten!$F$58,IF(S$35=3,Tunneldaten!$G$58,Tunneldaten!$H$58))))</f>
        <v/>
      </c>
      <c r="T37" s="1044"/>
      <c r="U37" s="1045"/>
      <c r="V37" s="1043" t="str">
        <f>IF(V$3&lt;&gt;$A$1,"",IF(V$35=1,Tunneldaten!$E$58,IF(V$35=2,Tunneldaten!$F$58,IF(V$35=3,Tunneldaten!$G$58,Tunneldaten!$H$58))))</f>
        <v/>
      </c>
      <c r="W37" s="1044"/>
      <c r="X37" s="1045"/>
      <c r="Y37" s="1043" t="str">
        <f>IF(Y$3&lt;&gt;$A$1,"",IF(Y$35=1,Tunneldaten!$E$58,IF(Y$35=2,Tunneldaten!$F$58,IF(Y$35=3,Tunneldaten!$G$58,Tunneldaten!$H$58))))</f>
        <v/>
      </c>
      <c r="Z37" s="1044"/>
      <c r="AA37" s="1045"/>
      <c r="AB37" s="10"/>
    </row>
    <row r="38" spans="1:28" ht="14.25" customHeight="1">
      <c r="F38" s="180" t="s">
        <v>510</v>
      </c>
      <c r="G38" s="546"/>
      <c r="H38" s="547" t="s">
        <v>54</v>
      </c>
      <c r="I38" s="429"/>
      <c r="J38" s="1043" t="str">
        <f>IF(J$3&lt;&gt;$A$1,"",IF(J$35=1,Tunneldaten!$E$59,IF(J$35=2,Tunneldaten!$F$59,IF(J$35=3,Tunneldaten!$G$59,Tunneldaten!$H$59))))</f>
        <v/>
      </c>
      <c r="K38" s="1044"/>
      <c r="L38" s="1045"/>
      <c r="M38" s="1043" t="str">
        <f>IF(M$3&lt;&gt;$A$1,"",IF(M$35=1,Tunneldaten!$E$59,IF(M$35=2,Tunneldaten!$F$59,IF(M$35=3,Tunneldaten!$G$59,Tunneldaten!$H$59))))</f>
        <v/>
      </c>
      <c r="N38" s="1044"/>
      <c r="O38" s="1045"/>
      <c r="P38" s="1043" t="str">
        <f>IF(P$3&lt;&gt;$A$1,"",IF(P$35=1,Tunneldaten!$E$59,IF(P$35=2,Tunneldaten!$F$59,IF(P$35=3,Tunneldaten!$G$59,Tunneldaten!$H$59))))</f>
        <v/>
      </c>
      <c r="Q38" s="1044"/>
      <c r="R38" s="1045"/>
      <c r="S38" s="1043" t="str">
        <f>IF(S$3&lt;&gt;$A$1,"",IF(S$35=1,Tunneldaten!$E$59,IF(S$35=2,Tunneldaten!$F$59,IF(S$35=3,Tunneldaten!$G$59,Tunneldaten!$H$59))))</f>
        <v/>
      </c>
      <c r="T38" s="1044"/>
      <c r="U38" s="1045"/>
      <c r="V38" s="1043" t="str">
        <f>IF(V$3&lt;&gt;$A$1,"",IF(V$35=1,Tunneldaten!$E$59,IF(V$35=2,Tunneldaten!$F$59,IF(V$35=3,Tunneldaten!$G$59,Tunneldaten!$H$59))))</f>
        <v/>
      </c>
      <c r="W38" s="1044"/>
      <c r="X38" s="1045"/>
      <c r="Y38" s="1043" t="str">
        <f>IF(Y$3&lt;&gt;$A$1,"",IF(Y$35=1,Tunneldaten!$E$59,IF(Y$35=2,Tunneldaten!$F$59,IF(Y$35=3,Tunneldaten!$G$59,Tunneldaten!$H$59))))</f>
        <v/>
      </c>
      <c r="Z38" s="1044"/>
      <c r="AA38" s="1045"/>
      <c r="AB38" s="10"/>
    </row>
    <row r="39" spans="1:28" ht="14.25" customHeight="1">
      <c r="F39" s="180" t="s">
        <v>511</v>
      </c>
      <c r="G39" s="546"/>
      <c r="H39" s="547" t="s">
        <v>54</v>
      </c>
      <c r="I39" s="429"/>
      <c r="J39" s="1043" t="str">
        <f>IF(J$3&lt;&gt;$A$1,"",IF(J$35=1,Tunneldaten!$E$61,IF(J$35=2,Tunneldaten!$F$61,IF(J$35=3,Tunneldaten!$G$61,Tunneldaten!$H$61))))</f>
        <v/>
      </c>
      <c r="K39" s="1044"/>
      <c r="L39" s="1045"/>
      <c r="M39" s="1043" t="str">
        <f>IF(M$3&lt;&gt;$A$1,"",IF(M$35=1,Tunneldaten!$E$61,IF(M$35=2,Tunneldaten!$F$61,IF(M$35=3,Tunneldaten!$G$61,Tunneldaten!$H$61))))</f>
        <v/>
      </c>
      <c r="N39" s="1044"/>
      <c r="O39" s="1045"/>
      <c r="P39" s="1043" t="str">
        <f>IF(P$3&lt;&gt;$A$1,"",IF(P$35=1,Tunneldaten!$E$61,IF(P$35=2,Tunneldaten!$F$61,IF(P$35=3,Tunneldaten!$G$61,Tunneldaten!$H$61))))</f>
        <v/>
      </c>
      <c r="Q39" s="1044"/>
      <c r="R39" s="1045"/>
      <c r="S39" s="1043" t="str">
        <f>IF(S$3&lt;&gt;$A$1,"",IF(S$35=1,Tunneldaten!$E$61,IF(S$35=2,Tunneldaten!$F$61,IF(S$35=3,Tunneldaten!$G$61,Tunneldaten!$H$61))))</f>
        <v/>
      </c>
      <c r="T39" s="1044"/>
      <c r="U39" s="1045"/>
      <c r="V39" s="1043" t="str">
        <f>IF(V$3&lt;&gt;$A$1,"",IF(V$35=1,Tunneldaten!$E$61,IF(V$35=2,Tunneldaten!$F$61,IF(V$35=3,Tunneldaten!$G$61,Tunneldaten!$H$61))))</f>
        <v/>
      </c>
      <c r="W39" s="1044"/>
      <c r="X39" s="1045"/>
      <c r="Y39" s="1043" t="str">
        <f>IF(Y$3&lt;&gt;$A$1,"",IF(Y$35=1,Tunneldaten!$E$61,IF(Y$35=2,Tunneldaten!$F$61,IF(Y$35=3,Tunneldaten!$G$61,Tunneldaten!$H$61))))</f>
        <v/>
      </c>
      <c r="Z39" s="1044"/>
      <c r="AA39" s="1045"/>
      <c r="AB39" s="10"/>
    </row>
    <row r="40" spans="1:28" ht="14.25" customHeight="1">
      <c r="A40" s="79"/>
      <c r="B40" s="79"/>
      <c r="C40" s="79"/>
      <c r="D40" s="79"/>
      <c r="E40" s="50"/>
      <c r="F40" s="180" t="s">
        <v>512</v>
      </c>
      <c r="G40" s="546"/>
      <c r="H40" s="547" t="s">
        <v>54</v>
      </c>
      <c r="I40" s="429"/>
      <c r="J40" s="1043" t="str">
        <f>IF(J$3&lt;&gt;$A$1,"",IF(J$35=1,Tunneldaten!$E$62,IF(J$35=2,Tunneldaten!$F$62,IF(J$35=3,Tunneldaten!$G$62,Tunneldaten!$H$62))))</f>
        <v/>
      </c>
      <c r="K40" s="1044"/>
      <c r="L40" s="1045"/>
      <c r="M40" s="1043" t="str">
        <f>IF(M$3&lt;&gt;$A$1,"",IF(M$35=1,Tunneldaten!$E$62,IF(M$35=2,Tunneldaten!$F$62,IF(M$35=3,Tunneldaten!$G$62,Tunneldaten!$H$62))))</f>
        <v/>
      </c>
      <c r="N40" s="1044"/>
      <c r="O40" s="1045"/>
      <c r="P40" s="1043" t="str">
        <f>IF(P$3&lt;&gt;$A$1,"",IF(P$35=1,Tunneldaten!$E$62,IF(P$35=2,Tunneldaten!$F$62,IF(P$35=3,Tunneldaten!$G$62,Tunneldaten!$H$62))))</f>
        <v/>
      </c>
      <c r="Q40" s="1044"/>
      <c r="R40" s="1045"/>
      <c r="S40" s="1043" t="str">
        <f>IF(S$3&lt;&gt;$A$1,"",IF(S$35=1,Tunneldaten!$E$62,IF(S$35=2,Tunneldaten!$F$62,IF(S$35=3,Tunneldaten!$G$62,Tunneldaten!$H$62))))</f>
        <v/>
      </c>
      <c r="T40" s="1044"/>
      <c r="U40" s="1045"/>
      <c r="V40" s="1043" t="str">
        <f>IF(V$3&lt;&gt;$A$1,"",IF(V$35=1,Tunneldaten!$E$62,IF(V$35=2,Tunneldaten!$F$62,IF(V$35=3,Tunneldaten!$G$62,Tunneldaten!$H$62))))</f>
        <v/>
      </c>
      <c r="W40" s="1044"/>
      <c r="X40" s="1045"/>
      <c r="Y40" s="1043" t="str">
        <f>IF(Y$3&lt;&gt;$A$1,"",IF(Y$35=1,Tunneldaten!$E$62,IF(Y$35=2,Tunneldaten!$F$62,IF(Y$35=3,Tunneldaten!$G$62,Tunneldaten!$H$62))))</f>
        <v/>
      </c>
      <c r="Z40" s="1044"/>
      <c r="AA40" s="1045"/>
      <c r="AB40" s="10"/>
    </row>
    <row r="41" spans="1:28" ht="14.25" customHeight="1">
      <c r="E41" s="50"/>
      <c r="F41" s="187" t="s">
        <v>513</v>
      </c>
      <c r="G41" s="135"/>
      <c r="H41" s="548" t="s">
        <v>54</v>
      </c>
      <c r="I41" s="439"/>
      <c r="J41" s="1033" t="str">
        <f>IF(J$3&lt;&gt;$A$1,"",IF(J$35=1,Tunneldaten!$E$63,IF(J$35=2,Tunneldaten!$F$63,IF(J$35=3,Tunneldaten!$G$63,Tunneldaten!$H$63))))</f>
        <v/>
      </c>
      <c r="K41" s="1034"/>
      <c r="L41" s="1035"/>
      <c r="M41" s="1033" t="str">
        <f>IF(M$3&lt;&gt;$A$1,"",IF(M$35=1,Tunneldaten!$E$63,IF(M$35=2,Tunneldaten!$F$63,IF(M$35=3,Tunneldaten!$G$63,Tunneldaten!$H$63))))</f>
        <v/>
      </c>
      <c r="N41" s="1034"/>
      <c r="O41" s="1035"/>
      <c r="P41" s="1033" t="str">
        <f>IF(P$3&lt;&gt;$A$1,"",IF(P$35=1,Tunneldaten!$E$63,IF(P$35=2,Tunneldaten!$F$63,IF(P$35=3,Tunneldaten!$G$63,Tunneldaten!$H$63))))</f>
        <v/>
      </c>
      <c r="Q41" s="1034"/>
      <c r="R41" s="1035"/>
      <c r="S41" s="1033" t="str">
        <f>IF(S$3&lt;&gt;$A$1,"",IF(S$35=1,Tunneldaten!$E$63,IF(S$35=2,Tunneldaten!$F$63,IF(S$35=3,Tunneldaten!$G$63,Tunneldaten!$H$63))))</f>
        <v/>
      </c>
      <c r="T41" s="1034"/>
      <c r="U41" s="1035"/>
      <c r="V41" s="1033" t="str">
        <f>IF(V$3&lt;&gt;$A$1,"",IF(V$35=1,Tunneldaten!$E$63,IF(V$35=2,Tunneldaten!$F$63,IF(V$35=3,Tunneldaten!$G$63,Tunneldaten!$H$63))))</f>
        <v/>
      </c>
      <c r="W41" s="1034"/>
      <c r="X41" s="1035"/>
      <c r="Y41" s="1033" t="str">
        <f>IF(Y$3&lt;&gt;$A$1,"",IF(Y$35=1,Tunneldaten!$E$63,IF(Y$35=2,Tunneldaten!$F$63,IF(Y$35=3,Tunneldaten!$G$63,Tunneldaten!$H$63))))</f>
        <v/>
      </c>
      <c r="Z41" s="1034"/>
      <c r="AA41" s="1035"/>
      <c r="AB41" s="10"/>
    </row>
    <row r="42" spans="1:28" ht="14.25" customHeight="1">
      <c r="E42" s="55"/>
      <c r="F42" s="50"/>
      <c r="G42" s="53"/>
      <c r="H42" s="6"/>
      <c r="J42" s="1111"/>
      <c r="K42" s="975"/>
      <c r="L42" s="1112"/>
      <c r="M42" s="1111"/>
      <c r="N42" s="975"/>
      <c r="O42" s="975"/>
      <c r="P42" s="1111"/>
      <c r="Q42" s="975"/>
      <c r="R42" s="975"/>
      <c r="S42" s="1111"/>
      <c r="T42" s="975"/>
      <c r="U42" s="975"/>
      <c r="V42" s="1111"/>
      <c r="W42" s="975"/>
      <c r="X42" s="975"/>
      <c r="Y42" s="1111"/>
      <c r="Z42" s="975"/>
      <c r="AA42" s="1112"/>
      <c r="AB42" s="10"/>
    </row>
    <row r="43" spans="1:28" ht="14.25" customHeight="1">
      <c r="F43" s="134" t="s">
        <v>514</v>
      </c>
      <c r="G43" s="89"/>
      <c r="H43" s="897"/>
      <c r="I43" s="375"/>
      <c r="J43" s="1105"/>
      <c r="K43" s="1106"/>
      <c r="L43" s="1107"/>
      <c r="M43" s="1105"/>
      <c r="N43" s="1106"/>
      <c r="O43" s="1107"/>
      <c r="P43" s="1105"/>
      <c r="Q43" s="1106"/>
      <c r="R43" s="1106"/>
      <c r="S43" s="1105"/>
      <c r="T43" s="1106"/>
      <c r="U43" s="1106"/>
      <c r="V43" s="1105"/>
      <c r="W43" s="1106"/>
      <c r="X43" s="1106"/>
      <c r="Y43" s="1105"/>
      <c r="Z43" s="1106"/>
      <c r="AA43" s="1107"/>
      <c r="AB43" s="10"/>
    </row>
    <row r="44" spans="1:28" ht="8.25" customHeight="1">
      <c r="G44" s="5"/>
      <c r="H44" s="6"/>
      <c r="J44" s="1108"/>
      <c r="K44" s="1109"/>
      <c r="L44" s="1110"/>
      <c r="M44" s="1111"/>
      <c r="N44" s="975"/>
      <c r="O44" s="1112"/>
      <c r="P44" s="1111"/>
      <c r="Q44" s="975"/>
      <c r="R44" s="975"/>
      <c r="S44" s="1111"/>
      <c r="T44" s="975"/>
      <c r="U44" s="975"/>
      <c r="V44" s="1111"/>
      <c r="W44" s="975"/>
      <c r="X44" s="975"/>
      <c r="Y44" s="1111"/>
      <c r="Z44" s="975"/>
      <c r="AA44" s="1112"/>
      <c r="AB44" s="10"/>
    </row>
    <row r="45" spans="1:28" ht="14.25" customHeight="1">
      <c r="F45" s="376" t="s">
        <v>163</v>
      </c>
      <c r="G45" s="137"/>
      <c r="H45" s="377" t="s">
        <v>369</v>
      </c>
      <c r="I45" s="378"/>
      <c r="J45" s="1102">
        <f>MROUND(IFERROR(SUMIF($A$64:$A$95,$F45,K$64:K$95),0),10)</f>
        <v>0</v>
      </c>
      <c r="K45" s="1103"/>
      <c r="L45" s="1104"/>
      <c r="M45" s="1102">
        <f t="shared" ref="M45:Y48" si="0">MROUND(IFERROR(SUMIF($A$64:$A$95,$F45,N$64:N$95),0),10)</f>
        <v>0</v>
      </c>
      <c r="N45" s="1103"/>
      <c r="O45" s="1104"/>
      <c r="P45" s="1102">
        <f t="shared" ref="P45" si="1">MROUND(IFERROR(SUMIF($A$64:$A$95,$F45,Q$64:Q$95),0),10)</f>
        <v>0</v>
      </c>
      <c r="Q45" s="1103"/>
      <c r="R45" s="1104"/>
      <c r="S45" s="1102">
        <f t="shared" ref="S45" si="2">MROUND(IFERROR(SUMIF($A$64:$A$95,$F45,T$64:T$95),0),10)</f>
        <v>0</v>
      </c>
      <c r="T45" s="1103"/>
      <c r="U45" s="1104"/>
      <c r="V45" s="1102">
        <f t="shared" ref="V45" si="3">MROUND(IFERROR(SUMIF($A$64:$A$95,$F45,W$64:W$95),0),10)</f>
        <v>0</v>
      </c>
      <c r="W45" s="1103"/>
      <c r="X45" s="1104"/>
      <c r="Y45" s="1102">
        <f t="shared" ref="Y45" si="4">MROUND(IFERROR(SUMIF($A$64:$A$95,$F45,Z$64:Z$95),0),10)</f>
        <v>0</v>
      </c>
      <c r="Z45" s="1103"/>
      <c r="AA45" s="1104"/>
      <c r="AB45" s="10"/>
    </row>
    <row r="46" spans="1:28" ht="14.25" customHeight="1">
      <c r="F46" s="419" t="s">
        <v>166</v>
      </c>
      <c r="G46" s="88"/>
      <c r="H46" s="380" t="s">
        <v>369</v>
      </c>
      <c r="I46" s="381"/>
      <c r="J46" s="1040">
        <f>MROUND(IFERROR(SUMIF($A$64:$A$95,$F46,K$64:K$95),0),10)</f>
        <v>0</v>
      </c>
      <c r="K46" s="1041"/>
      <c r="L46" s="1042"/>
      <c r="M46" s="1040">
        <f t="shared" si="0"/>
        <v>0</v>
      </c>
      <c r="N46" s="1041"/>
      <c r="O46" s="1042"/>
      <c r="P46" s="1040">
        <f t="shared" si="0"/>
        <v>0</v>
      </c>
      <c r="Q46" s="1041"/>
      <c r="R46" s="1042"/>
      <c r="S46" s="1040">
        <f t="shared" si="0"/>
        <v>0</v>
      </c>
      <c r="T46" s="1041"/>
      <c r="U46" s="1042"/>
      <c r="V46" s="1040">
        <f t="shared" si="0"/>
        <v>0</v>
      </c>
      <c r="W46" s="1041"/>
      <c r="X46" s="1042"/>
      <c r="Y46" s="1040">
        <f t="shared" si="0"/>
        <v>0</v>
      </c>
      <c r="Z46" s="1041"/>
      <c r="AA46" s="1042"/>
      <c r="AB46" s="10"/>
    </row>
    <row r="47" spans="1:28" ht="14.25" customHeight="1">
      <c r="A47" s="79"/>
      <c r="B47" s="79"/>
      <c r="C47" s="79"/>
      <c r="D47" s="79"/>
      <c r="F47" s="419" t="s">
        <v>168</v>
      </c>
      <c r="G47" s="88"/>
      <c r="H47" s="380" t="s">
        <v>369</v>
      </c>
      <c r="I47" s="381"/>
      <c r="J47" s="1040">
        <f>MROUND(IFERROR(SUMIF($A$64:$A$95,$F47,K$64:K$95),0),10)</f>
        <v>0</v>
      </c>
      <c r="K47" s="1041"/>
      <c r="L47" s="1042"/>
      <c r="M47" s="1040">
        <f t="shared" si="0"/>
        <v>0</v>
      </c>
      <c r="N47" s="1041"/>
      <c r="O47" s="1042"/>
      <c r="P47" s="1040">
        <f t="shared" si="0"/>
        <v>0</v>
      </c>
      <c r="Q47" s="1041"/>
      <c r="R47" s="1042"/>
      <c r="S47" s="1040">
        <f t="shared" si="0"/>
        <v>0</v>
      </c>
      <c r="T47" s="1041"/>
      <c r="U47" s="1042"/>
      <c r="V47" s="1040">
        <f t="shared" si="0"/>
        <v>0</v>
      </c>
      <c r="W47" s="1041"/>
      <c r="X47" s="1042"/>
      <c r="Y47" s="1040">
        <f t="shared" si="0"/>
        <v>0</v>
      </c>
      <c r="Z47" s="1041"/>
      <c r="AA47" s="1042"/>
      <c r="AB47" s="10"/>
    </row>
    <row r="48" spans="1:28" ht="14.25" customHeight="1">
      <c r="F48" s="554" t="s">
        <v>497</v>
      </c>
      <c r="G48" s="555"/>
      <c r="H48" s="556" t="s">
        <v>369</v>
      </c>
      <c r="I48" s="557"/>
      <c r="J48" s="1040">
        <f>MROUND(IFERROR(SUMIF($A$64:$A$95,$F48,K$64:K$95),0),10)</f>
        <v>0</v>
      </c>
      <c r="K48" s="1041"/>
      <c r="L48" s="1042"/>
      <c r="M48" s="1040">
        <f t="shared" si="0"/>
        <v>0</v>
      </c>
      <c r="N48" s="1041"/>
      <c r="O48" s="1042"/>
      <c r="P48" s="1040">
        <f t="shared" si="0"/>
        <v>0</v>
      </c>
      <c r="Q48" s="1041"/>
      <c r="R48" s="1042"/>
      <c r="S48" s="1040">
        <f t="shared" si="0"/>
        <v>0</v>
      </c>
      <c r="T48" s="1041"/>
      <c r="U48" s="1042"/>
      <c r="V48" s="1040">
        <f t="shared" si="0"/>
        <v>0</v>
      </c>
      <c r="W48" s="1041"/>
      <c r="X48" s="1042"/>
      <c r="Y48" s="1040">
        <f t="shared" si="0"/>
        <v>0</v>
      </c>
      <c r="Z48" s="1041"/>
      <c r="AA48" s="1042"/>
      <c r="AB48" s="10"/>
    </row>
    <row r="49" spans="1:29" ht="14.25" customHeight="1">
      <c r="F49" s="382" t="s">
        <v>104</v>
      </c>
      <c r="G49" s="384"/>
      <c r="H49" s="383" t="s">
        <v>369</v>
      </c>
      <c r="I49" s="573"/>
      <c r="J49" s="1036">
        <f t="shared" ref="J49" si="5">ROUND(IFERROR(SUMIF($A$64:$A$95,$F49,K$64:K$95),0),-1)</f>
        <v>0</v>
      </c>
      <c r="K49" s="1037"/>
      <c r="L49" s="1038"/>
      <c r="M49" s="1036">
        <f t="shared" ref="M49" si="6">ROUND(IFERROR(SUMIF($A$64:$A$95,$F49,N$64:N$95),0),-1)</f>
        <v>0</v>
      </c>
      <c r="N49" s="1037"/>
      <c r="O49" s="1038"/>
      <c r="P49" s="1036">
        <f t="shared" ref="P49" si="7">ROUND(IFERROR(SUMIF($A$64:$A$95,$F49,Q$64:Q$95),0),-1)</f>
        <v>0</v>
      </c>
      <c r="Q49" s="1037"/>
      <c r="R49" s="1038"/>
      <c r="S49" s="1036">
        <f t="shared" ref="S49" si="8">ROUND(IFERROR(SUMIF($A$64:$A$95,$F49,T$64:T$95),0),-1)</f>
        <v>0</v>
      </c>
      <c r="T49" s="1037"/>
      <c r="U49" s="1038"/>
      <c r="V49" s="1036">
        <f>ROUND(IFERROR(SUMIF($A$64:$A$95,$F49,W$64:W$95),0),-1)</f>
        <v>0</v>
      </c>
      <c r="W49" s="1037"/>
      <c r="X49" s="1038"/>
      <c r="Y49" s="1036">
        <f>ROUND(IFERROR(SUMIF($A$64:$A$95,$F49,Z$64:Z$95),0),-1)</f>
        <v>0</v>
      </c>
      <c r="Z49" s="1037"/>
      <c r="AA49" s="1038"/>
      <c r="AB49" s="10"/>
    </row>
    <row r="50" spans="1:29" ht="14.25" customHeight="1">
      <c r="F50" s="50"/>
      <c r="G50" s="5"/>
      <c r="H50" s="6"/>
      <c r="J50" s="1108"/>
      <c r="K50" s="1109"/>
      <c r="L50" s="1110"/>
      <c r="M50" s="1111"/>
      <c r="N50" s="975"/>
      <c r="O50" s="1112"/>
      <c r="P50" s="1111"/>
      <c r="Q50" s="975"/>
      <c r="R50" s="975"/>
      <c r="S50" s="1111"/>
      <c r="T50" s="975"/>
      <c r="U50" s="975"/>
      <c r="V50" s="1111"/>
      <c r="W50" s="975"/>
      <c r="X50" s="975"/>
      <c r="Y50" s="1111"/>
      <c r="Z50" s="975"/>
      <c r="AA50" s="1112"/>
      <c r="AB50" s="10"/>
    </row>
    <row r="51" spans="1:29" ht="14.25" customHeight="1">
      <c r="F51" s="133" t="s">
        <v>515</v>
      </c>
      <c r="G51" s="89"/>
      <c r="H51" s="897" t="s">
        <v>369</v>
      </c>
      <c r="I51" s="375"/>
      <c r="J51" s="1117"/>
      <c r="K51" s="1118"/>
      <c r="L51" s="1119"/>
      <c r="M51" s="1105"/>
      <c r="N51" s="1106"/>
      <c r="O51" s="1107"/>
      <c r="P51" s="1105"/>
      <c r="Q51" s="1106"/>
      <c r="R51" s="1106"/>
      <c r="S51" s="1105"/>
      <c r="T51" s="1106"/>
      <c r="U51" s="1106"/>
      <c r="V51" s="1105"/>
      <c r="W51" s="1106"/>
      <c r="X51" s="1106"/>
      <c r="Y51" s="1105"/>
      <c r="Z51" s="1106"/>
      <c r="AA51" s="1107"/>
      <c r="AB51" s="10"/>
    </row>
    <row r="52" spans="1:29" ht="8.25" customHeight="1">
      <c r="G52" s="5"/>
      <c r="H52" s="6"/>
      <c r="J52" s="1108"/>
      <c r="K52" s="1109"/>
      <c r="L52" s="1110"/>
      <c r="M52" s="1111"/>
      <c r="N52" s="975"/>
      <c r="O52" s="1112"/>
      <c r="P52" s="1111"/>
      <c r="Q52" s="975"/>
      <c r="R52" s="975"/>
      <c r="S52" s="1111"/>
      <c r="T52" s="975"/>
      <c r="U52" s="975"/>
      <c r="V52" s="1111"/>
      <c r="W52" s="975"/>
      <c r="X52" s="975"/>
      <c r="Y52" s="1111"/>
      <c r="Z52" s="975"/>
      <c r="AA52" s="1112"/>
      <c r="AB52" s="10"/>
    </row>
    <row r="53" spans="1:29" ht="14.25" customHeight="1">
      <c r="F53" s="376" t="s">
        <v>189</v>
      </c>
      <c r="G53" s="137"/>
      <c r="H53" s="377" t="s">
        <v>516</v>
      </c>
      <c r="I53" s="378"/>
      <c r="J53" s="1114">
        <f>IFERROR(SUMIF($F$64:$F$95,$F53,L$64:L$95),0)</f>
        <v>0</v>
      </c>
      <c r="K53" s="1115"/>
      <c r="L53" s="1116"/>
      <c r="M53" s="1114">
        <f t="shared" ref="M53:M54" si="9">IFERROR(SUMIF($F$64:$F$95,$F53,O$64:O$95),0)</f>
        <v>0</v>
      </c>
      <c r="N53" s="1115"/>
      <c r="O53" s="1116"/>
      <c r="P53" s="1114">
        <f t="shared" ref="P53:P54" si="10">IFERROR(SUMIF($F$64:$F$95,$F53,R$64:R$95),0)</f>
        <v>0</v>
      </c>
      <c r="Q53" s="1115"/>
      <c r="R53" s="1116"/>
      <c r="S53" s="1114">
        <f t="shared" ref="S53:S54" si="11">IFERROR(SUMIF($F$64:$F$95,$F53,U$64:U$95),0)</f>
        <v>0</v>
      </c>
      <c r="T53" s="1115"/>
      <c r="U53" s="1116"/>
      <c r="V53" s="1114">
        <f t="shared" ref="V53:V54" si="12">IFERROR(SUMIF($F$64:$F$95,$F53,X$64:X$95),0)</f>
        <v>0</v>
      </c>
      <c r="W53" s="1115"/>
      <c r="X53" s="1116"/>
      <c r="Y53" s="1114">
        <f t="shared" ref="Y53:Y54" si="13">IFERROR(SUMIF($F$64:$F$95,$F53,AA$64:AA$95),0)</f>
        <v>0</v>
      </c>
      <c r="Z53" s="1115"/>
      <c r="AA53" s="1116"/>
      <c r="AB53" s="10"/>
    </row>
    <row r="54" spans="1:29" ht="14.25" customHeight="1">
      <c r="F54" s="379" t="s">
        <v>191</v>
      </c>
      <c r="G54" s="88"/>
      <c r="H54" s="380" t="s">
        <v>516</v>
      </c>
      <c r="I54" s="381"/>
      <c r="J54" s="1120">
        <f t="shared" ref="J54:J59" si="14">IFERROR(SUMIF($F$64:$F$95,$F54,L$64:L$95),0)</f>
        <v>0</v>
      </c>
      <c r="K54" s="1121"/>
      <c r="L54" s="1122"/>
      <c r="M54" s="1120">
        <f t="shared" si="9"/>
        <v>0</v>
      </c>
      <c r="N54" s="1121"/>
      <c r="O54" s="1122"/>
      <c r="P54" s="1120">
        <f t="shared" si="10"/>
        <v>0</v>
      </c>
      <c r="Q54" s="1121"/>
      <c r="R54" s="1122"/>
      <c r="S54" s="1120">
        <f t="shared" si="11"/>
        <v>0</v>
      </c>
      <c r="T54" s="1121"/>
      <c r="U54" s="1122"/>
      <c r="V54" s="1120">
        <f t="shared" si="12"/>
        <v>0</v>
      </c>
      <c r="W54" s="1121"/>
      <c r="X54" s="1122"/>
      <c r="Y54" s="1120">
        <f t="shared" si="13"/>
        <v>0</v>
      </c>
      <c r="Z54" s="1121"/>
      <c r="AA54" s="1122"/>
      <c r="AB54" s="10"/>
    </row>
    <row r="55" spans="1:29" ht="14.25" customHeight="1">
      <c r="F55" s="379" t="s">
        <v>517</v>
      </c>
      <c r="G55" s="88"/>
      <c r="H55" s="380" t="s">
        <v>516</v>
      </c>
      <c r="I55" s="381"/>
      <c r="J55" s="1120">
        <f t="shared" ref="J55" si="15">J54-J56</f>
        <v>0</v>
      </c>
      <c r="K55" s="1121"/>
      <c r="L55" s="1122"/>
      <c r="M55" s="1120">
        <f t="shared" ref="M55:Y55" si="16">M54-M56</f>
        <v>0</v>
      </c>
      <c r="N55" s="1121"/>
      <c r="O55" s="1122"/>
      <c r="P55" s="1120">
        <f t="shared" si="16"/>
        <v>0</v>
      </c>
      <c r="Q55" s="1121"/>
      <c r="R55" s="1122"/>
      <c r="S55" s="1120">
        <f t="shared" si="16"/>
        <v>0</v>
      </c>
      <c r="T55" s="1121"/>
      <c r="U55" s="1122"/>
      <c r="V55" s="1120">
        <f t="shared" si="16"/>
        <v>0</v>
      </c>
      <c r="W55" s="1121"/>
      <c r="X55" s="1122"/>
      <c r="Y55" s="1120">
        <f t="shared" si="16"/>
        <v>0</v>
      </c>
      <c r="Z55" s="1121"/>
      <c r="AA55" s="1122"/>
      <c r="AB55" s="10"/>
    </row>
    <row r="56" spans="1:29" ht="14.25" customHeight="1">
      <c r="F56" s="263" t="s">
        <v>518</v>
      </c>
      <c r="G56" s="264"/>
      <c r="H56" s="265" t="s">
        <v>519</v>
      </c>
      <c r="I56" s="266"/>
      <c r="J56" s="1123">
        <v>0</v>
      </c>
      <c r="K56" s="1124"/>
      <c r="L56" s="1125"/>
      <c r="M56" s="1123">
        <v>0</v>
      </c>
      <c r="N56" s="1124"/>
      <c r="O56" s="1125"/>
      <c r="P56" s="1123">
        <v>0</v>
      </c>
      <c r="Q56" s="1124"/>
      <c r="R56" s="1125"/>
      <c r="S56" s="1123">
        <v>0</v>
      </c>
      <c r="T56" s="1124"/>
      <c r="U56" s="1125"/>
      <c r="V56" s="1123">
        <v>0</v>
      </c>
      <c r="W56" s="1124"/>
      <c r="X56" s="1125"/>
      <c r="Y56" s="1123">
        <v>0</v>
      </c>
      <c r="Z56" s="1124"/>
      <c r="AA56" s="1125"/>
      <c r="AB56" s="10"/>
    </row>
    <row r="57" spans="1:29" ht="14.25" customHeight="1">
      <c r="F57" s="379" t="s">
        <v>98</v>
      </c>
      <c r="G57" s="88"/>
      <c r="H57" s="380" t="s">
        <v>190</v>
      </c>
      <c r="I57" s="381"/>
      <c r="J57" s="1120">
        <f t="shared" si="14"/>
        <v>0</v>
      </c>
      <c r="K57" s="1121"/>
      <c r="L57" s="1122"/>
      <c r="M57" s="1120">
        <f t="shared" ref="M57:M59" si="17">IFERROR(SUMIF($F$64:$F$95,$F57,O$64:O$95),0)</f>
        <v>0</v>
      </c>
      <c r="N57" s="1121"/>
      <c r="O57" s="1122"/>
      <c r="P57" s="1120">
        <f t="shared" ref="P57:P59" si="18">IFERROR(SUMIF($F$64:$F$95,$F57,R$64:R$95),0)</f>
        <v>0</v>
      </c>
      <c r="Q57" s="1121"/>
      <c r="R57" s="1122"/>
      <c r="S57" s="1120">
        <f t="shared" ref="S57:S59" si="19">IFERROR(SUMIF($F$64:$F$95,$F57,U$64:U$95),0)</f>
        <v>0</v>
      </c>
      <c r="T57" s="1121"/>
      <c r="U57" s="1122"/>
      <c r="V57" s="1120">
        <f t="shared" ref="V57:V59" si="20">IFERROR(SUMIF($F$64:$F$95,$F57,X$64:X$95),0)</f>
        <v>0</v>
      </c>
      <c r="W57" s="1121"/>
      <c r="X57" s="1122"/>
      <c r="Y57" s="1120">
        <f t="shared" ref="Y57:Y59" si="21">IFERROR(SUMIF($F$64:$F$95,$F57,AA$64:AA$95),0)</f>
        <v>0</v>
      </c>
      <c r="Z57" s="1121"/>
      <c r="AA57" s="1122"/>
      <c r="AB57" s="10"/>
    </row>
    <row r="58" spans="1:29" ht="14.25" customHeight="1">
      <c r="F58" s="379" t="s">
        <v>192</v>
      </c>
      <c r="G58" s="88"/>
      <c r="H58" s="380" t="s">
        <v>40</v>
      </c>
      <c r="I58" s="381"/>
      <c r="J58" s="1120">
        <f t="shared" si="14"/>
        <v>0</v>
      </c>
      <c r="K58" s="1121"/>
      <c r="L58" s="1122"/>
      <c r="M58" s="1120">
        <f t="shared" si="17"/>
        <v>0</v>
      </c>
      <c r="N58" s="1121"/>
      <c r="O58" s="1122"/>
      <c r="P58" s="1120">
        <f t="shared" si="18"/>
        <v>0</v>
      </c>
      <c r="Q58" s="1121"/>
      <c r="R58" s="1122"/>
      <c r="S58" s="1120">
        <f t="shared" si="19"/>
        <v>0</v>
      </c>
      <c r="T58" s="1121"/>
      <c r="U58" s="1122"/>
      <c r="V58" s="1120">
        <f t="shared" si="20"/>
        <v>0</v>
      </c>
      <c r="W58" s="1121"/>
      <c r="X58" s="1122"/>
      <c r="Y58" s="1120">
        <f t="shared" si="21"/>
        <v>0</v>
      </c>
      <c r="Z58" s="1121"/>
      <c r="AA58" s="1122"/>
      <c r="AB58" s="10"/>
    </row>
    <row r="59" spans="1:29" ht="14.25" customHeight="1">
      <c r="F59" s="382" t="s">
        <v>100</v>
      </c>
      <c r="G59" s="138"/>
      <c r="H59" s="383" t="s">
        <v>516</v>
      </c>
      <c r="I59" s="384"/>
      <c r="J59" s="1127">
        <f t="shared" si="14"/>
        <v>0</v>
      </c>
      <c r="K59" s="1128"/>
      <c r="L59" s="1129"/>
      <c r="M59" s="1127">
        <f t="shared" si="17"/>
        <v>0</v>
      </c>
      <c r="N59" s="1128"/>
      <c r="O59" s="1129"/>
      <c r="P59" s="1127">
        <f t="shared" si="18"/>
        <v>0</v>
      </c>
      <c r="Q59" s="1128"/>
      <c r="R59" s="1129"/>
      <c r="S59" s="1127">
        <f t="shared" si="19"/>
        <v>0</v>
      </c>
      <c r="T59" s="1128"/>
      <c r="U59" s="1129"/>
      <c r="V59" s="1127">
        <f t="shared" si="20"/>
        <v>0</v>
      </c>
      <c r="W59" s="1128"/>
      <c r="X59" s="1129"/>
      <c r="Y59" s="1127">
        <f t="shared" si="21"/>
        <v>0</v>
      </c>
      <c r="Z59" s="1128"/>
      <c r="AA59" s="1129"/>
      <c r="AB59" s="10"/>
    </row>
    <row r="60" spans="1:29" ht="14.25" customHeight="1">
      <c r="E60" s="50"/>
      <c r="F60" s="50"/>
      <c r="G60" s="53"/>
      <c r="J60" s="10"/>
      <c r="K60" s="50"/>
      <c r="L60" s="51"/>
      <c r="M60" s="86"/>
      <c r="N60" s="51"/>
      <c r="O60" s="50"/>
      <c r="P60" s="87"/>
      <c r="Q60" s="50"/>
      <c r="R60" s="51"/>
      <c r="S60" s="86"/>
      <c r="T60" s="51"/>
      <c r="U60" s="50"/>
      <c r="V60" s="87"/>
      <c r="Y60" s="10"/>
      <c r="AB60" s="10"/>
    </row>
    <row r="61" spans="1:29" ht="14.25" customHeight="1">
      <c r="C61" s="385"/>
      <c r="D61" s="385"/>
      <c r="E61" s="385"/>
      <c r="F61" s="385"/>
      <c r="G61" s="386"/>
      <c r="H61" s="385"/>
      <c r="I61" s="385"/>
      <c r="J61" s="387"/>
      <c r="K61" s="385"/>
      <c r="M61" s="10"/>
      <c r="P61" s="10"/>
      <c r="S61" s="10"/>
      <c r="V61" s="10"/>
      <c r="Y61" s="10"/>
      <c r="AB61" s="10"/>
    </row>
    <row r="62" spans="1:29" s="56" customFormat="1" ht="14.25" customHeight="1">
      <c r="B62" s="98" t="s">
        <v>125</v>
      </c>
      <c r="C62" s="99" t="s">
        <v>444</v>
      </c>
      <c r="D62" s="99" t="s">
        <v>520</v>
      </c>
      <c r="E62" s="98" t="s">
        <v>521</v>
      </c>
      <c r="F62" s="1126" t="s">
        <v>522</v>
      </c>
      <c r="G62" s="1126"/>
      <c r="H62" s="98" t="s">
        <v>523</v>
      </c>
      <c r="I62" s="98"/>
      <c r="J62" s="100" t="s">
        <v>524</v>
      </c>
      <c r="K62" s="99" t="s">
        <v>525</v>
      </c>
      <c r="L62" s="101" t="s">
        <v>522</v>
      </c>
      <c r="M62" s="100" t="s">
        <v>524</v>
      </c>
      <c r="N62" s="99" t="s">
        <v>525</v>
      </c>
      <c r="O62" s="101" t="s">
        <v>522</v>
      </c>
      <c r="P62" s="100" t="s">
        <v>524</v>
      </c>
      <c r="Q62" s="99" t="s">
        <v>525</v>
      </c>
      <c r="R62" s="101" t="s">
        <v>522</v>
      </c>
      <c r="S62" s="100" t="s">
        <v>524</v>
      </c>
      <c r="T62" s="99" t="s">
        <v>525</v>
      </c>
      <c r="U62" s="101" t="s">
        <v>522</v>
      </c>
      <c r="V62" s="100" t="s">
        <v>524</v>
      </c>
      <c r="W62" s="99" t="s">
        <v>525</v>
      </c>
      <c r="X62" s="101" t="s">
        <v>522</v>
      </c>
      <c r="Y62" s="100" t="s">
        <v>524</v>
      </c>
      <c r="Z62" s="99" t="s">
        <v>525</v>
      </c>
      <c r="AA62" s="101" t="s">
        <v>522</v>
      </c>
      <c r="AB62" s="78"/>
      <c r="AC62" s="143"/>
    </row>
    <row r="63" spans="1:29" s="56" customFormat="1" ht="8.25" customHeight="1">
      <c r="C63" s="61"/>
      <c r="D63" s="61"/>
      <c r="E63" s="58"/>
      <c r="F63" s="59"/>
      <c r="G63" s="61"/>
      <c r="H63" s="62"/>
      <c r="I63" s="62"/>
      <c r="J63" s="78"/>
      <c r="M63" s="63"/>
      <c r="N63" s="58"/>
      <c r="O63" s="83"/>
      <c r="P63" s="63"/>
      <c r="Q63" s="58"/>
      <c r="R63" s="60"/>
      <c r="S63" s="63"/>
      <c r="T63" s="58"/>
      <c r="U63" s="60"/>
      <c r="V63" s="63"/>
      <c r="W63" s="58"/>
      <c r="X63" s="83"/>
      <c r="Y63" s="63"/>
      <c r="Z63" s="58"/>
      <c r="AA63" s="60"/>
      <c r="AB63" s="78"/>
    </row>
    <row r="64" spans="1:29" ht="14.25" customHeight="1">
      <c r="A64" s="414" t="s">
        <v>163</v>
      </c>
      <c r="B64" s="390"/>
      <c r="C64" s="388" t="s">
        <v>53</v>
      </c>
      <c r="D64" s="388" t="s">
        <v>516</v>
      </c>
      <c r="E64" s="452">
        <v>70</v>
      </c>
      <c r="F64" s="106" t="s">
        <v>189</v>
      </c>
      <c r="G64" s="388" t="s">
        <v>516</v>
      </c>
      <c r="H64" s="389">
        <v>1</v>
      </c>
      <c r="I64" s="390"/>
      <c r="J64" s="391">
        <f>IFERROR(J$5*J$8*J9/100,0)</f>
        <v>0</v>
      </c>
      <c r="K64" s="108">
        <f>ROUND($E64*J64,)</f>
        <v>0</v>
      </c>
      <c r="L64" s="109">
        <f t="shared" ref="L64:L89" si="22">$H64*J64</f>
        <v>0</v>
      </c>
      <c r="M64" s="391">
        <f t="shared" ref="M64" si="23">IFERROR(M$5*M$8*M9/100,0)</f>
        <v>0</v>
      </c>
      <c r="N64" s="108">
        <f t="shared" ref="N64:Z79" si="24">ROUND($E64*M64,)</f>
        <v>0</v>
      </c>
      <c r="O64" s="109">
        <f t="shared" ref="O64:O89" si="25">$H64*M64</f>
        <v>0</v>
      </c>
      <c r="P64" s="391">
        <f t="shared" ref="P64" si="26">IFERROR(P$5*P$8*P9/100,0)</f>
        <v>0</v>
      </c>
      <c r="Q64" s="108">
        <f t="shared" ref="Q64" si="27">ROUND($E64*P64,)</f>
        <v>0</v>
      </c>
      <c r="R64" s="109">
        <f t="shared" ref="R64:R89" si="28">$H64*P64</f>
        <v>0</v>
      </c>
      <c r="S64" s="391">
        <f t="shared" ref="S64" si="29">IFERROR(S$5*S$8*S9/100,0)</f>
        <v>0</v>
      </c>
      <c r="T64" s="108">
        <f t="shared" ref="T64" si="30">ROUND($E64*S64,)</f>
        <v>0</v>
      </c>
      <c r="U64" s="109">
        <f t="shared" ref="U64:U89" si="31">$H64*S64</f>
        <v>0</v>
      </c>
      <c r="V64" s="391">
        <f t="shared" ref="V64" si="32">IFERROR(V$5*V$8*V9/100,0)</f>
        <v>0</v>
      </c>
      <c r="W64" s="108">
        <f t="shared" ref="W64" si="33">ROUND($E64*V64,)</f>
        <v>0</v>
      </c>
      <c r="X64" s="109">
        <f t="shared" ref="X64:X89" si="34">$H64*V64</f>
        <v>0</v>
      </c>
      <c r="Y64" s="391">
        <f t="shared" ref="Y64" si="35">IFERROR(Y$5*Y$8*Y9/100,0)</f>
        <v>0</v>
      </c>
      <c r="Z64" s="108">
        <f t="shared" ref="Z64" si="36">ROUND($E64*Y64,)</f>
        <v>0</v>
      </c>
      <c r="AA64" s="109">
        <f t="shared" ref="AA64:AA89" si="37">$H64*Y64</f>
        <v>0</v>
      </c>
      <c r="AB64" s="10"/>
    </row>
    <row r="65" spans="1:28" ht="14.25" customHeight="1">
      <c r="A65" s="415" t="s">
        <v>163</v>
      </c>
      <c r="B65" s="394"/>
      <c r="C65" s="392" t="s">
        <v>57</v>
      </c>
      <c r="D65" s="392" t="s">
        <v>516</v>
      </c>
      <c r="E65" s="461">
        <v>75</v>
      </c>
      <c r="F65" s="90" t="s">
        <v>189</v>
      </c>
      <c r="G65" s="392" t="s">
        <v>516</v>
      </c>
      <c r="H65" s="393">
        <v>1</v>
      </c>
      <c r="I65" s="394"/>
      <c r="J65" s="395">
        <f>IFERROR(J$5*J$8*J10/100,0)</f>
        <v>0</v>
      </c>
      <c r="K65" s="92">
        <f t="shared" ref="K65:K88" si="38">ROUND($E65*J65,)</f>
        <v>0</v>
      </c>
      <c r="L65" s="93">
        <f t="shared" si="22"/>
        <v>0</v>
      </c>
      <c r="M65" s="395">
        <f t="shared" ref="M65" si="39">IFERROR(M$5*M$8*M10/100,0)</f>
        <v>0</v>
      </c>
      <c r="N65" s="92">
        <f t="shared" si="24"/>
        <v>0</v>
      </c>
      <c r="O65" s="93">
        <f t="shared" si="25"/>
        <v>0</v>
      </c>
      <c r="P65" s="395">
        <f t="shared" ref="P65" si="40">IFERROR(P$5*P$8*P10/100,0)</f>
        <v>0</v>
      </c>
      <c r="Q65" s="92">
        <f t="shared" si="24"/>
        <v>0</v>
      </c>
      <c r="R65" s="93">
        <f t="shared" si="28"/>
        <v>0</v>
      </c>
      <c r="S65" s="395">
        <f t="shared" ref="S65" si="41">IFERROR(S$5*S$8*S10/100,0)</f>
        <v>0</v>
      </c>
      <c r="T65" s="92">
        <f t="shared" si="24"/>
        <v>0</v>
      </c>
      <c r="U65" s="93">
        <f t="shared" si="31"/>
        <v>0</v>
      </c>
      <c r="V65" s="395">
        <f t="shared" ref="V65" si="42">IFERROR(V$5*V$8*V10/100,0)</f>
        <v>0</v>
      </c>
      <c r="W65" s="92">
        <f t="shared" si="24"/>
        <v>0</v>
      </c>
      <c r="X65" s="93">
        <f t="shared" si="34"/>
        <v>0</v>
      </c>
      <c r="Y65" s="395">
        <f t="shared" ref="Y65" si="43">IFERROR(Y$5*Y$8*Y10/100,0)</f>
        <v>0</v>
      </c>
      <c r="Z65" s="92">
        <f t="shared" si="24"/>
        <v>0</v>
      </c>
      <c r="AA65" s="93">
        <f t="shared" si="37"/>
        <v>0</v>
      </c>
      <c r="AB65" s="10"/>
    </row>
    <row r="66" spans="1:28" ht="14.25" customHeight="1">
      <c r="A66" s="415" t="s">
        <v>163</v>
      </c>
      <c r="B66" s="394"/>
      <c r="C66" s="392" t="s">
        <v>60</v>
      </c>
      <c r="D66" s="392" t="s">
        <v>516</v>
      </c>
      <c r="E66" s="461">
        <v>80</v>
      </c>
      <c r="F66" s="90" t="s">
        <v>189</v>
      </c>
      <c r="G66" s="392" t="s">
        <v>516</v>
      </c>
      <c r="H66" s="393">
        <v>1</v>
      </c>
      <c r="I66" s="394"/>
      <c r="J66" s="395">
        <f>IFERROR(J$5*J$8*J11/100,0)</f>
        <v>0</v>
      </c>
      <c r="K66" s="92">
        <f t="shared" si="38"/>
        <v>0</v>
      </c>
      <c r="L66" s="93">
        <f t="shared" si="22"/>
        <v>0</v>
      </c>
      <c r="M66" s="395">
        <f t="shared" ref="M66" si="44">IFERROR(M$5*M$8*M11/100,0)</f>
        <v>0</v>
      </c>
      <c r="N66" s="92">
        <f t="shared" si="24"/>
        <v>0</v>
      </c>
      <c r="O66" s="93">
        <f t="shared" si="25"/>
        <v>0</v>
      </c>
      <c r="P66" s="395">
        <f t="shared" ref="P66" si="45">IFERROR(P$5*P$8*P11/100,0)</f>
        <v>0</v>
      </c>
      <c r="Q66" s="92">
        <f t="shared" si="24"/>
        <v>0</v>
      </c>
      <c r="R66" s="93">
        <f t="shared" si="28"/>
        <v>0</v>
      </c>
      <c r="S66" s="395">
        <f t="shared" ref="S66" si="46">IFERROR(S$5*S$8*S11/100,0)</f>
        <v>0</v>
      </c>
      <c r="T66" s="92">
        <f t="shared" si="24"/>
        <v>0</v>
      </c>
      <c r="U66" s="93">
        <f t="shared" si="31"/>
        <v>0</v>
      </c>
      <c r="V66" s="395">
        <f t="shared" ref="V66" si="47">IFERROR(V$5*V$8*V11/100,0)</f>
        <v>0</v>
      </c>
      <c r="W66" s="92">
        <f t="shared" si="24"/>
        <v>0</v>
      </c>
      <c r="X66" s="93">
        <f t="shared" si="34"/>
        <v>0</v>
      </c>
      <c r="Y66" s="395">
        <f t="shared" ref="Y66" si="48">IFERROR(Y$5*Y$8*Y11/100,0)</f>
        <v>0</v>
      </c>
      <c r="Z66" s="92">
        <f t="shared" si="24"/>
        <v>0</v>
      </c>
      <c r="AA66" s="93">
        <f t="shared" si="37"/>
        <v>0</v>
      </c>
      <c r="AB66" s="10"/>
    </row>
    <row r="67" spans="1:28" ht="14.25" customHeight="1">
      <c r="A67" s="415" t="s">
        <v>163</v>
      </c>
      <c r="B67" s="394"/>
      <c r="C67" s="392" t="s">
        <v>63</v>
      </c>
      <c r="D67" s="392" t="s">
        <v>516</v>
      </c>
      <c r="E67" s="461">
        <v>100</v>
      </c>
      <c r="F67" s="90" t="s">
        <v>189</v>
      </c>
      <c r="G67" s="392" t="s">
        <v>516</v>
      </c>
      <c r="H67" s="393">
        <v>1</v>
      </c>
      <c r="I67" s="394"/>
      <c r="J67" s="395">
        <f>IFERROR(J$5*J$8*J12/100,0)</f>
        <v>0</v>
      </c>
      <c r="K67" s="92">
        <f t="shared" si="38"/>
        <v>0</v>
      </c>
      <c r="L67" s="93">
        <f t="shared" si="22"/>
        <v>0</v>
      </c>
      <c r="M67" s="395">
        <f t="shared" ref="M67" si="49">IFERROR(M$5*M$8*M12/100,0)</f>
        <v>0</v>
      </c>
      <c r="N67" s="92">
        <f t="shared" si="24"/>
        <v>0</v>
      </c>
      <c r="O67" s="93">
        <f t="shared" si="25"/>
        <v>0</v>
      </c>
      <c r="P67" s="395">
        <f t="shared" ref="P67" si="50">IFERROR(P$5*P$8*P12/100,0)</f>
        <v>0</v>
      </c>
      <c r="Q67" s="92">
        <f t="shared" si="24"/>
        <v>0</v>
      </c>
      <c r="R67" s="93">
        <f t="shared" si="28"/>
        <v>0</v>
      </c>
      <c r="S67" s="395">
        <f t="shared" ref="S67" si="51">IFERROR(S$5*S$8*S12/100,0)</f>
        <v>0</v>
      </c>
      <c r="T67" s="92">
        <f t="shared" si="24"/>
        <v>0</v>
      </c>
      <c r="U67" s="93">
        <f t="shared" si="31"/>
        <v>0</v>
      </c>
      <c r="V67" s="395">
        <f t="shared" ref="V67" si="52">IFERROR(V$5*V$8*V12/100,0)</f>
        <v>0</v>
      </c>
      <c r="W67" s="92">
        <f t="shared" si="24"/>
        <v>0</v>
      </c>
      <c r="X67" s="93">
        <f t="shared" si="34"/>
        <v>0</v>
      </c>
      <c r="Y67" s="395">
        <f t="shared" ref="Y67" si="53">IFERROR(Y$5*Y$8*Y12/100,0)</f>
        <v>0</v>
      </c>
      <c r="Z67" s="92">
        <f t="shared" si="24"/>
        <v>0</v>
      </c>
      <c r="AA67" s="93">
        <f t="shared" si="37"/>
        <v>0</v>
      </c>
      <c r="AB67" s="10"/>
    </row>
    <row r="68" spans="1:28" ht="14.25" customHeight="1">
      <c r="A68" s="878" t="s">
        <v>163</v>
      </c>
      <c r="B68" s="398"/>
      <c r="C68" s="396" t="s">
        <v>65</v>
      </c>
      <c r="D68" s="211" t="s">
        <v>526</v>
      </c>
      <c r="E68" s="879">
        <v>160</v>
      </c>
      <c r="F68" s="110" t="s">
        <v>189</v>
      </c>
      <c r="G68" s="211" t="s">
        <v>526</v>
      </c>
      <c r="H68" s="397">
        <v>1</v>
      </c>
      <c r="I68" s="398"/>
      <c r="J68" s="399">
        <f>IFERROR(J$5*J$8*J13/100,0)</f>
        <v>0</v>
      </c>
      <c r="K68" s="112">
        <f t="shared" si="38"/>
        <v>0</v>
      </c>
      <c r="L68" s="113">
        <f t="shared" si="22"/>
        <v>0</v>
      </c>
      <c r="M68" s="399">
        <f t="shared" ref="M68" si="54">IFERROR(M$5*M$8*M13/100,0)</f>
        <v>0</v>
      </c>
      <c r="N68" s="112">
        <f t="shared" si="24"/>
        <v>0</v>
      </c>
      <c r="O68" s="113">
        <f t="shared" si="25"/>
        <v>0</v>
      </c>
      <c r="P68" s="399">
        <f t="shared" ref="P68" si="55">IFERROR(P$5*P$8*P13/100,0)</f>
        <v>0</v>
      </c>
      <c r="Q68" s="112">
        <f t="shared" si="24"/>
        <v>0</v>
      </c>
      <c r="R68" s="113">
        <f t="shared" si="28"/>
        <v>0</v>
      </c>
      <c r="S68" s="399">
        <f t="shared" ref="S68" si="56">IFERROR(S$5*S$8*S13/100,0)</f>
        <v>0</v>
      </c>
      <c r="T68" s="112">
        <f t="shared" si="24"/>
        <v>0</v>
      </c>
      <c r="U68" s="113">
        <f t="shared" si="31"/>
        <v>0</v>
      </c>
      <c r="V68" s="399">
        <f t="shared" ref="V68" si="57">IFERROR(V$5*V$8*V13/100,0)</f>
        <v>0</v>
      </c>
      <c r="W68" s="112">
        <f t="shared" si="24"/>
        <v>0</v>
      </c>
      <c r="X68" s="113">
        <f t="shared" si="34"/>
        <v>0</v>
      </c>
      <c r="Y68" s="399">
        <f t="shared" ref="Y68" si="58">IFERROR(Y$5*Y$8*Y13/100,0)</f>
        <v>0</v>
      </c>
      <c r="Z68" s="112">
        <f t="shared" si="24"/>
        <v>0</v>
      </c>
      <c r="AA68" s="113">
        <f t="shared" si="37"/>
        <v>0</v>
      </c>
      <c r="AB68" s="10"/>
    </row>
    <row r="69" spans="1:28" ht="14.25" customHeight="1">
      <c r="A69" s="414" t="s">
        <v>166</v>
      </c>
      <c r="B69" s="390" t="s">
        <v>527</v>
      </c>
      <c r="C69" s="388" t="s">
        <v>57</v>
      </c>
      <c r="D69" s="388" t="s">
        <v>528</v>
      </c>
      <c r="E69" s="880">
        <f>Parameter!C85</f>
        <v>95</v>
      </c>
      <c r="F69" s="114" t="s">
        <v>98</v>
      </c>
      <c r="G69" s="107" t="s">
        <v>190</v>
      </c>
      <c r="H69" s="400">
        <f>Parameter!$C$36</f>
        <v>1.54E-2</v>
      </c>
      <c r="I69" s="390"/>
      <c r="J69" s="391">
        <f>IFERROR(J$5*J10/100*J$21*Parameter!$C61,)</f>
        <v>0</v>
      </c>
      <c r="K69" s="108">
        <f t="shared" si="38"/>
        <v>0</v>
      </c>
      <c r="L69" s="109">
        <f t="shared" si="22"/>
        <v>0</v>
      </c>
      <c r="M69" s="391">
        <f>IFERROR(M$5*M10/100*M$21*Parameter!$C61,)</f>
        <v>0</v>
      </c>
      <c r="N69" s="108">
        <f t="shared" si="24"/>
        <v>0</v>
      </c>
      <c r="O69" s="109">
        <f t="shared" si="25"/>
        <v>0</v>
      </c>
      <c r="P69" s="391">
        <f>IFERROR(P$5*P10/100*P$21*Parameter!$C61,)</f>
        <v>0</v>
      </c>
      <c r="Q69" s="108">
        <f t="shared" si="24"/>
        <v>0</v>
      </c>
      <c r="R69" s="109">
        <f t="shared" si="28"/>
        <v>0</v>
      </c>
      <c r="S69" s="391">
        <f>IFERROR(S$5*S10/100*S$21*Parameter!$C61,)</f>
        <v>0</v>
      </c>
      <c r="T69" s="108">
        <f t="shared" si="24"/>
        <v>0</v>
      </c>
      <c r="U69" s="109">
        <f t="shared" si="31"/>
        <v>0</v>
      </c>
      <c r="V69" s="391">
        <f>IFERROR(V$5*V10/100*V$21*Parameter!$C61,)</f>
        <v>0</v>
      </c>
      <c r="W69" s="108">
        <f t="shared" si="24"/>
        <v>0</v>
      </c>
      <c r="X69" s="109">
        <f t="shared" si="34"/>
        <v>0</v>
      </c>
      <c r="Y69" s="391">
        <f>IFERROR(Y$5*Y10/100*Y$21*Parameter!$C61,)</f>
        <v>0</v>
      </c>
      <c r="Z69" s="108">
        <f t="shared" si="24"/>
        <v>0</v>
      </c>
      <c r="AA69" s="109">
        <f t="shared" si="37"/>
        <v>0</v>
      </c>
      <c r="AB69" s="10"/>
    </row>
    <row r="70" spans="1:28" ht="14.25" customHeight="1">
      <c r="A70" s="415" t="s">
        <v>166</v>
      </c>
      <c r="B70" s="394"/>
      <c r="C70" s="392" t="s">
        <v>60</v>
      </c>
      <c r="D70" s="392" t="s">
        <v>528</v>
      </c>
      <c r="E70" s="881">
        <f>Parameter!$C$86</f>
        <v>95</v>
      </c>
      <c r="F70" s="94" t="s">
        <v>98</v>
      </c>
      <c r="G70" s="91" t="s">
        <v>190</v>
      </c>
      <c r="H70" s="401">
        <f>Parameter!$C$36</f>
        <v>1.54E-2</v>
      </c>
      <c r="I70" s="394"/>
      <c r="J70" s="395">
        <f>IFERROR(J$5*J11/100*J$21*Parameter!$C62,0)</f>
        <v>0</v>
      </c>
      <c r="K70" s="92">
        <f t="shared" si="38"/>
        <v>0</v>
      </c>
      <c r="L70" s="93">
        <f t="shared" si="22"/>
        <v>0</v>
      </c>
      <c r="M70" s="395">
        <f>IFERROR(M$5*M11/100*M$21*Parameter!$C62,0)</f>
        <v>0</v>
      </c>
      <c r="N70" s="92">
        <f t="shared" si="24"/>
        <v>0</v>
      </c>
      <c r="O70" s="93">
        <f t="shared" si="25"/>
        <v>0</v>
      </c>
      <c r="P70" s="395">
        <f>IFERROR(P$5*P11/100*P$21*Parameter!$C62,0)</f>
        <v>0</v>
      </c>
      <c r="Q70" s="92">
        <f t="shared" si="24"/>
        <v>0</v>
      </c>
      <c r="R70" s="93">
        <f t="shared" si="28"/>
        <v>0</v>
      </c>
      <c r="S70" s="395">
        <f>IFERROR(S$5*S11/100*S$21*Parameter!$C62,0)</f>
        <v>0</v>
      </c>
      <c r="T70" s="92">
        <f t="shared" si="24"/>
        <v>0</v>
      </c>
      <c r="U70" s="93">
        <f t="shared" si="31"/>
        <v>0</v>
      </c>
      <c r="V70" s="395">
        <f>IFERROR(V$5*V11/100*V$21*Parameter!$C62,0)</f>
        <v>0</v>
      </c>
      <c r="W70" s="92">
        <f t="shared" si="24"/>
        <v>0</v>
      </c>
      <c r="X70" s="93">
        <f t="shared" si="34"/>
        <v>0</v>
      </c>
      <c r="Y70" s="395">
        <f>IFERROR(Y$5*Y11/100*Y$21*Parameter!$C62,0)</f>
        <v>0</v>
      </c>
      <c r="Z70" s="92">
        <f t="shared" si="24"/>
        <v>0</v>
      </c>
      <c r="AA70" s="93">
        <f t="shared" si="37"/>
        <v>0</v>
      </c>
      <c r="AB70" s="10"/>
    </row>
    <row r="71" spans="1:28" ht="14.25" customHeight="1">
      <c r="A71" s="415" t="s">
        <v>166</v>
      </c>
      <c r="B71" s="394"/>
      <c r="C71" s="392" t="s">
        <v>63</v>
      </c>
      <c r="D71" s="392" t="s">
        <v>528</v>
      </c>
      <c r="E71" s="881">
        <f>Parameter!$C$87</f>
        <v>120</v>
      </c>
      <c r="F71" s="94" t="s">
        <v>98</v>
      </c>
      <c r="G71" s="91" t="s">
        <v>190</v>
      </c>
      <c r="H71" s="401">
        <f>Parameter!$C$37</f>
        <v>2.3100000000000002E-2</v>
      </c>
      <c r="I71" s="394"/>
      <c r="J71" s="395">
        <f>IFERROR(J$5*J12/100*J$21*Parameter!$C63,0)</f>
        <v>0</v>
      </c>
      <c r="K71" s="92">
        <f t="shared" si="38"/>
        <v>0</v>
      </c>
      <c r="L71" s="93">
        <f t="shared" si="22"/>
        <v>0</v>
      </c>
      <c r="M71" s="395">
        <f>IFERROR(M$5*M12/100*M$21*Parameter!$C63,0)</f>
        <v>0</v>
      </c>
      <c r="N71" s="92">
        <f t="shared" si="24"/>
        <v>0</v>
      </c>
      <c r="O71" s="93">
        <f t="shared" si="25"/>
        <v>0</v>
      </c>
      <c r="P71" s="395">
        <f>IFERROR(P$5*P12/100*P$21*Parameter!$C63,0)</f>
        <v>0</v>
      </c>
      <c r="Q71" s="92">
        <f t="shared" si="24"/>
        <v>0</v>
      </c>
      <c r="R71" s="93">
        <f t="shared" si="28"/>
        <v>0</v>
      </c>
      <c r="S71" s="395">
        <f>IFERROR(S$5*S12/100*S$21*Parameter!$C63,0)</f>
        <v>0</v>
      </c>
      <c r="T71" s="92">
        <f t="shared" si="24"/>
        <v>0</v>
      </c>
      <c r="U71" s="93">
        <f t="shared" si="31"/>
        <v>0</v>
      </c>
      <c r="V71" s="395">
        <f>IFERROR(V$5*V12/100*V$21*Parameter!$C63,0)</f>
        <v>0</v>
      </c>
      <c r="W71" s="92">
        <f t="shared" si="24"/>
        <v>0</v>
      </c>
      <c r="X71" s="93">
        <f t="shared" si="34"/>
        <v>0</v>
      </c>
      <c r="Y71" s="395">
        <f>IFERROR(Y$5*Y12/100*Y$21*Parameter!$C63,0)</f>
        <v>0</v>
      </c>
      <c r="Z71" s="92">
        <f t="shared" si="24"/>
        <v>0</v>
      </c>
      <c r="AA71" s="93">
        <f t="shared" si="37"/>
        <v>0</v>
      </c>
      <c r="AB71" s="10"/>
    </row>
    <row r="72" spans="1:28" ht="14.25" customHeight="1">
      <c r="A72" s="878" t="s">
        <v>166</v>
      </c>
      <c r="B72" s="398"/>
      <c r="C72" s="396" t="s">
        <v>65</v>
      </c>
      <c r="D72" s="396" t="s">
        <v>528</v>
      </c>
      <c r="E72" s="882">
        <f>Parameter!$C$88</f>
        <v>160</v>
      </c>
      <c r="F72" s="115" t="s">
        <v>98</v>
      </c>
      <c r="G72" s="111" t="s">
        <v>190</v>
      </c>
      <c r="H72" s="402">
        <f>Parameter!$C$38</f>
        <v>3.0800000000000001E-2</v>
      </c>
      <c r="I72" s="398"/>
      <c r="J72" s="399">
        <f>IFERROR(J$5*J13/100*J$21*Parameter!$C64,0)</f>
        <v>0</v>
      </c>
      <c r="K72" s="112">
        <f t="shared" si="38"/>
        <v>0</v>
      </c>
      <c r="L72" s="113">
        <f t="shared" si="22"/>
        <v>0</v>
      </c>
      <c r="M72" s="399">
        <f>IFERROR(M$5*M13/100*M$21*Parameter!$C64,0)</f>
        <v>0</v>
      </c>
      <c r="N72" s="112">
        <f t="shared" si="24"/>
        <v>0</v>
      </c>
      <c r="O72" s="113">
        <f t="shared" si="25"/>
        <v>0</v>
      </c>
      <c r="P72" s="399">
        <f>IFERROR(P$5*P13/100*P$21*Parameter!$C64,0)</f>
        <v>0</v>
      </c>
      <c r="Q72" s="112">
        <f t="shared" si="24"/>
        <v>0</v>
      </c>
      <c r="R72" s="113">
        <f t="shared" si="28"/>
        <v>0</v>
      </c>
      <c r="S72" s="399">
        <f>IFERROR(S$5*S13/100*S$21*Parameter!$C64,0)</f>
        <v>0</v>
      </c>
      <c r="T72" s="112">
        <f t="shared" si="24"/>
        <v>0</v>
      </c>
      <c r="U72" s="113">
        <f t="shared" si="31"/>
        <v>0</v>
      </c>
      <c r="V72" s="399">
        <f>IFERROR(V$5*V13/100*V$21*Parameter!$C64,0)</f>
        <v>0</v>
      </c>
      <c r="W72" s="112">
        <f t="shared" si="24"/>
        <v>0</v>
      </c>
      <c r="X72" s="113">
        <f t="shared" si="34"/>
        <v>0</v>
      </c>
      <c r="Y72" s="399">
        <f>IFERROR(Y$5*Y13/100*Y$21*Parameter!$C64,0)</f>
        <v>0</v>
      </c>
      <c r="Z72" s="112">
        <f t="shared" si="24"/>
        <v>0</v>
      </c>
      <c r="AA72" s="113">
        <f t="shared" si="37"/>
        <v>0</v>
      </c>
      <c r="AB72" s="10"/>
    </row>
    <row r="73" spans="1:28" ht="14.25" customHeight="1">
      <c r="A73" s="453" t="s">
        <v>166</v>
      </c>
      <c r="B73" s="405" t="s">
        <v>529</v>
      </c>
      <c r="C73" s="403" t="s">
        <v>53</v>
      </c>
      <c r="D73" s="403" t="s">
        <v>40</v>
      </c>
      <c r="E73" s="880">
        <f>Parameter!$C$89</f>
        <v>15</v>
      </c>
      <c r="F73" s="102" t="s">
        <v>98</v>
      </c>
      <c r="G73" s="103" t="s">
        <v>190</v>
      </c>
      <c r="H73" s="404">
        <f>Parameter!$C$39</f>
        <v>3.0200000000000001E-3</v>
      </c>
      <c r="I73" s="405"/>
      <c r="J73" s="406">
        <f>IFERROR(J$5*J$21*J9/100*Parameter!$C65,0)</f>
        <v>0</v>
      </c>
      <c r="K73" s="104">
        <f t="shared" si="38"/>
        <v>0</v>
      </c>
      <c r="L73" s="105">
        <f t="shared" si="22"/>
        <v>0</v>
      </c>
      <c r="M73" s="406">
        <f>IFERROR(M$5*M$21*M9/100*Parameter!$C65,0)</f>
        <v>0</v>
      </c>
      <c r="N73" s="104">
        <f t="shared" si="24"/>
        <v>0</v>
      </c>
      <c r="O73" s="105">
        <f t="shared" si="25"/>
        <v>0</v>
      </c>
      <c r="P73" s="406">
        <f>IFERROR(P$5*P$21*P9/100*Parameter!$C65,0)</f>
        <v>0</v>
      </c>
      <c r="Q73" s="104">
        <f t="shared" si="24"/>
        <v>0</v>
      </c>
      <c r="R73" s="105">
        <f t="shared" si="28"/>
        <v>0</v>
      </c>
      <c r="S73" s="406">
        <f>IFERROR(S$5*S$21*S9/100*Parameter!$C65,0)</f>
        <v>0</v>
      </c>
      <c r="T73" s="104">
        <f t="shared" si="24"/>
        <v>0</v>
      </c>
      <c r="U73" s="105">
        <f t="shared" si="31"/>
        <v>0</v>
      </c>
      <c r="V73" s="406">
        <f>IFERROR(V$5*V$21*V9/100*Parameter!$C65,0)</f>
        <v>0</v>
      </c>
      <c r="W73" s="104">
        <f t="shared" si="24"/>
        <v>0</v>
      </c>
      <c r="X73" s="105">
        <f t="shared" si="34"/>
        <v>0</v>
      </c>
      <c r="Y73" s="406">
        <f>IFERROR(Y$5*Y$21*Y9/100*Parameter!$C65,0)</f>
        <v>0</v>
      </c>
      <c r="Z73" s="104">
        <f t="shared" si="24"/>
        <v>0</v>
      </c>
      <c r="AA73" s="105">
        <f t="shared" si="37"/>
        <v>0</v>
      </c>
      <c r="AB73" s="10"/>
    </row>
    <row r="74" spans="1:28" ht="14.25" customHeight="1">
      <c r="A74" s="415" t="s">
        <v>166</v>
      </c>
      <c r="B74" s="394"/>
      <c r="C74" s="392" t="s">
        <v>57</v>
      </c>
      <c r="D74" s="392" t="s">
        <v>40</v>
      </c>
      <c r="E74" s="880">
        <f>Parameter!$C$90</f>
        <v>15</v>
      </c>
      <c r="F74" s="94" t="s">
        <v>98</v>
      </c>
      <c r="G74" s="91" t="s">
        <v>190</v>
      </c>
      <c r="H74" s="401">
        <f>Parameter!$C$39</f>
        <v>3.0200000000000001E-3</v>
      </c>
      <c r="I74" s="394"/>
      <c r="J74" s="406">
        <f>IFERROR(J$5*J$21*J10/100*Parameter!$C66,0)</f>
        <v>0</v>
      </c>
      <c r="K74" s="92">
        <f t="shared" si="38"/>
        <v>0</v>
      </c>
      <c r="L74" s="93">
        <f t="shared" si="22"/>
        <v>0</v>
      </c>
      <c r="M74" s="406">
        <f>IFERROR(M$5*M$21*M10/100*Parameter!$C66,0)</f>
        <v>0</v>
      </c>
      <c r="N74" s="92">
        <f t="shared" si="24"/>
        <v>0</v>
      </c>
      <c r="O74" s="93">
        <f t="shared" si="25"/>
        <v>0</v>
      </c>
      <c r="P74" s="406">
        <f>IFERROR(P$5*P$21*P10/100*Parameter!$C66,0)</f>
        <v>0</v>
      </c>
      <c r="Q74" s="92">
        <f t="shared" si="24"/>
        <v>0</v>
      </c>
      <c r="R74" s="93">
        <f t="shared" si="28"/>
        <v>0</v>
      </c>
      <c r="S74" s="406">
        <f>IFERROR(S$5*S$21*S10/100*Parameter!$C66,0)</f>
        <v>0</v>
      </c>
      <c r="T74" s="92">
        <f t="shared" si="24"/>
        <v>0</v>
      </c>
      <c r="U74" s="93">
        <f t="shared" si="31"/>
        <v>0</v>
      </c>
      <c r="V74" s="406">
        <f>IFERROR(V$5*V$21*V10/100*Parameter!$C66,0)</f>
        <v>0</v>
      </c>
      <c r="W74" s="92">
        <f t="shared" si="24"/>
        <v>0</v>
      </c>
      <c r="X74" s="93">
        <f t="shared" si="34"/>
        <v>0</v>
      </c>
      <c r="Y74" s="406">
        <f>IFERROR(Y$5*Y$21*Y10/100*Parameter!$C66,0)</f>
        <v>0</v>
      </c>
      <c r="Z74" s="92">
        <f t="shared" si="24"/>
        <v>0</v>
      </c>
      <c r="AA74" s="93">
        <f t="shared" si="37"/>
        <v>0</v>
      </c>
      <c r="AB74" s="10"/>
    </row>
    <row r="75" spans="1:28" ht="14.25" customHeight="1">
      <c r="A75" s="415" t="s">
        <v>166</v>
      </c>
      <c r="B75" s="394"/>
      <c r="C75" s="392" t="s">
        <v>60</v>
      </c>
      <c r="D75" s="392" t="s">
        <v>40</v>
      </c>
      <c r="E75" s="880">
        <f>Parameter!$C$91</f>
        <v>20</v>
      </c>
      <c r="F75" s="94" t="s">
        <v>98</v>
      </c>
      <c r="G75" s="91" t="s">
        <v>190</v>
      </c>
      <c r="H75" s="401">
        <f>Parameter!$C$40</f>
        <v>5.3699999999999998E-3</v>
      </c>
      <c r="I75" s="394"/>
      <c r="J75" s="406">
        <f>IFERROR(J$5*J$21*J11/100*Parameter!$C67,0)</f>
        <v>0</v>
      </c>
      <c r="K75" s="92">
        <f t="shared" si="38"/>
        <v>0</v>
      </c>
      <c r="L75" s="93">
        <f t="shared" si="22"/>
        <v>0</v>
      </c>
      <c r="M75" s="406">
        <f>IFERROR(M$5*M$21*M11/100*Parameter!$C67,0)</f>
        <v>0</v>
      </c>
      <c r="N75" s="92">
        <f t="shared" si="24"/>
        <v>0</v>
      </c>
      <c r="O75" s="93">
        <f t="shared" si="25"/>
        <v>0</v>
      </c>
      <c r="P75" s="406">
        <f>IFERROR(P$5*P$21*P11/100*Parameter!$C67,0)</f>
        <v>0</v>
      </c>
      <c r="Q75" s="92">
        <f t="shared" si="24"/>
        <v>0</v>
      </c>
      <c r="R75" s="93">
        <f t="shared" si="28"/>
        <v>0</v>
      </c>
      <c r="S75" s="406">
        <f>IFERROR(S$5*S$21*S11/100*Parameter!$C67,0)</f>
        <v>0</v>
      </c>
      <c r="T75" s="92">
        <f t="shared" si="24"/>
        <v>0</v>
      </c>
      <c r="U75" s="93">
        <f t="shared" si="31"/>
        <v>0</v>
      </c>
      <c r="V75" s="406">
        <f>IFERROR(V$5*V$21*V11/100*Parameter!$C67,0)</f>
        <v>0</v>
      </c>
      <c r="W75" s="92">
        <f t="shared" si="24"/>
        <v>0</v>
      </c>
      <c r="X75" s="93">
        <f t="shared" si="34"/>
        <v>0</v>
      </c>
      <c r="Y75" s="406">
        <f>IFERROR(Y$5*Y$21*Y11/100*Parameter!$C67,0)</f>
        <v>0</v>
      </c>
      <c r="Z75" s="92">
        <f t="shared" si="24"/>
        <v>0</v>
      </c>
      <c r="AA75" s="93">
        <f t="shared" si="37"/>
        <v>0</v>
      </c>
      <c r="AB75" s="10"/>
    </row>
    <row r="76" spans="1:28" ht="14.25" customHeight="1">
      <c r="A76" s="415" t="s">
        <v>166</v>
      </c>
      <c r="B76" s="394"/>
      <c r="C76" s="392" t="s">
        <v>63</v>
      </c>
      <c r="D76" s="392" t="s">
        <v>40</v>
      </c>
      <c r="E76" s="880">
        <f>Parameter!$C$92</f>
        <v>20</v>
      </c>
      <c r="F76" s="94" t="s">
        <v>98</v>
      </c>
      <c r="G76" s="91" t="s">
        <v>190</v>
      </c>
      <c r="H76" s="401">
        <f>Parameter!$C$40</f>
        <v>5.3699999999999998E-3</v>
      </c>
      <c r="I76" s="394"/>
      <c r="J76" s="406">
        <f>IFERROR(J$5*J$21*J12/100*Parameter!$C68,0)</f>
        <v>0</v>
      </c>
      <c r="K76" s="92">
        <f t="shared" si="38"/>
        <v>0</v>
      </c>
      <c r="L76" s="93">
        <f t="shared" si="22"/>
        <v>0</v>
      </c>
      <c r="M76" s="406">
        <f>IFERROR(M$5*M$21*M12/100*Parameter!$C68,0)</f>
        <v>0</v>
      </c>
      <c r="N76" s="92">
        <f t="shared" si="24"/>
        <v>0</v>
      </c>
      <c r="O76" s="93">
        <f t="shared" si="25"/>
        <v>0</v>
      </c>
      <c r="P76" s="406">
        <f>IFERROR(P$5*P$21*P12/100*Parameter!$C68,0)</f>
        <v>0</v>
      </c>
      <c r="Q76" s="92">
        <f t="shared" si="24"/>
        <v>0</v>
      </c>
      <c r="R76" s="93">
        <f t="shared" si="28"/>
        <v>0</v>
      </c>
      <c r="S76" s="406">
        <f>IFERROR(S$5*S$21*S12/100*Parameter!$C68,0)</f>
        <v>0</v>
      </c>
      <c r="T76" s="92">
        <f t="shared" si="24"/>
        <v>0</v>
      </c>
      <c r="U76" s="93">
        <f t="shared" si="31"/>
        <v>0</v>
      </c>
      <c r="V76" s="406">
        <f>IFERROR(V$5*V$21*V12/100*Parameter!$C68,0)</f>
        <v>0</v>
      </c>
      <c r="W76" s="92">
        <f t="shared" si="24"/>
        <v>0</v>
      </c>
      <c r="X76" s="93">
        <f t="shared" si="34"/>
        <v>0</v>
      </c>
      <c r="Y76" s="406">
        <f>IFERROR(Y$5*Y$21*Y12/100*Parameter!$C68,0)</f>
        <v>0</v>
      </c>
      <c r="Z76" s="92">
        <f t="shared" si="24"/>
        <v>0</v>
      </c>
      <c r="AA76" s="93">
        <f t="shared" si="37"/>
        <v>0</v>
      </c>
      <c r="AB76" s="10"/>
    </row>
    <row r="77" spans="1:28" ht="14.25" customHeight="1">
      <c r="A77" s="579" t="s">
        <v>166</v>
      </c>
      <c r="B77" s="409"/>
      <c r="C77" s="407" t="s">
        <v>65</v>
      </c>
      <c r="D77" s="407" t="s">
        <v>40</v>
      </c>
      <c r="E77" s="880">
        <f>Parameter!$C$93</f>
        <v>20</v>
      </c>
      <c r="F77" s="116" t="s">
        <v>98</v>
      </c>
      <c r="G77" s="117" t="s">
        <v>190</v>
      </c>
      <c r="H77" s="408">
        <f>Parameter!$C$40</f>
        <v>5.3699999999999998E-3</v>
      </c>
      <c r="I77" s="409"/>
      <c r="J77" s="406">
        <f>IFERROR(J$5*J$21*J13/100*Parameter!$C69,0)</f>
        <v>0</v>
      </c>
      <c r="K77" s="118">
        <f t="shared" si="38"/>
        <v>0</v>
      </c>
      <c r="L77" s="119">
        <f t="shared" si="22"/>
        <v>0</v>
      </c>
      <c r="M77" s="406">
        <f>IFERROR(M$5*M$21*M13/100*Parameter!$C69,0)</f>
        <v>0</v>
      </c>
      <c r="N77" s="118">
        <f t="shared" si="24"/>
        <v>0</v>
      </c>
      <c r="O77" s="119">
        <f t="shared" si="25"/>
        <v>0</v>
      </c>
      <c r="P77" s="406">
        <f>IFERROR(P$5*P$21*P13/100*Parameter!$C69,0)</f>
        <v>0</v>
      </c>
      <c r="Q77" s="118">
        <f t="shared" si="24"/>
        <v>0</v>
      </c>
      <c r="R77" s="119">
        <f t="shared" si="28"/>
        <v>0</v>
      </c>
      <c r="S77" s="406">
        <f>IFERROR(S$5*S$21*S13/100*Parameter!$C69,0)</f>
        <v>0</v>
      </c>
      <c r="T77" s="118">
        <f t="shared" si="24"/>
        <v>0</v>
      </c>
      <c r="U77" s="119">
        <f t="shared" si="31"/>
        <v>0</v>
      </c>
      <c r="V77" s="406">
        <f>IFERROR(V$5*V$21*V13/100*Parameter!$C69,0)</f>
        <v>0</v>
      </c>
      <c r="W77" s="118">
        <f t="shared" si="24"/>
        <v>0</v>
      </c>
      <c r="X77" s="119">
        <f t="shared" si="34"/>
        <v>0</v>
      </c>
      <c r="Y77" s="406">
        <f>IFERROR(Y$5*Y$21*Y13/100*Parameter!$C69,0)</f>
        <v>0</v>
      </c>
      <c r="Z77" s="118">
        <f t="shared" si="24"/>
        <v>0</v>
      </c>
      <c r="AA77" s="119">
        <f t="shared" si="37"/>
        <v>0</v>
      </c>
      <c r="AB77" s="10"/>
    </row>
    <row r="78" spans="1:28" ht="14.25" customHeight="1">
      <c r="A78" s="414" t="s">
        <v>166</v>
      </c>
      <c r="B78" s="390" t="s">
        <v>530</v>
      </c>
      <c r="C78" s="388" t="s">
        <v>63</v>
      </c>
      <c r="D78" s="388" t="s">
        <v>190</v>
      </c>
      <c r="E78" s="883">
        <f>Parameter!$C$94</f>
        <v>3500</v>
      </c>
      <c r="F78" s="114" t="s">
        <v>98</v>
      </c>
      <c r="G78" s="107" t="s">
        <v>190</v>
      </c>
      <c r="H78" s="389">
        <v>1</v>
      </c>
      <c r="I78" s="390"/>
      <c r="J78" s="391">
        <f>IFERROR(J$5*J12/100*J$21*Parameter!$C70,0)</f>
        <v>0</v>
      </c>
      <c r="K78" s="108">
        <f t="shared" si="38"/>
        <v>0</v>
      </c>
      <c r="L78" s="109">
        <f t="shared" si="22"/>
        <v>0</v>
      </c>
      <c r="M78" s="391">
        <f>IFERROR(M$5*M12/100*M$21*Parameter!$C70,0)</f>
        <v>0</v>
      </c>
      <c r="N78" s="108">
        <f t="shared" si="24"/>
        <v>0</v>
      </c>
      <c r="O78" s="109">
        <f t="shared" si="25"/>
        <v>0</v>
      </c>
      <c r="P78" s="391">
        <f>IFERROR(P$5*P12/100*P$21*Parameter!$C70,0)</f>
        <v>0</v>
      </c>
      <c r="Q78" s="108">
        <f t="shared" si="24"/>
        <v>0</v>
      </c>
      <c r="R78" s="109">
        <f t="shared" si="28"/>
        <v>0</v>
      </c>
      <c r="S78" s="391">
        <f>IFERROR(S$5*S12/100*S$21*Parameter!$C70,0)</f>
        <v>0</v>
      </c>
      <c r="T78" s="108">
        <f t="shared" si="24"/>
        <v>0</v>
      </c>
      <c r="U78" s="109">
        <f t="shared" si="31"/>
        <v>0</v>
      </c>
      <c r="V78" s="391">
        <f>IFERROR(V$5*V12/100*V$21*Parameter!$C70,0)</f>
        <v>0</v>
      </c>
      <c r="W78" s="108">
        <f t="shared" si="24"/>
        <v>0</v>
      </c>
      <c r="X78" s="109">
        <f t="shared" si="34"/>
        <v>0</v>
      </c>
      <c r="Y78" s="391">
        <f>IFERROR(Y$5*Y12/100*Y$21*Parameter!$C70,0)</f>
        <v>0</v>
      </c>
      <c r="Z78" s="108">
        <f t="shared" si="24"/>
        <v>0</v>
      </c>
      <c r="AA78" s="109">
        <f t="shared" si="37"/>
        <v>0</v>
      </c>
      <c r="AB78" s="10"/>
    </row>
    <row r="79" spans="1:28" ht="14.25" customHeight="1">
      <c r="A79" s="878" t="s">
        <v>166</v>
      </c>
      <c r="B79" s="398"/>
      <c r="C79" s="396" t="s">
        <v>65</v>
      </c>
      <c r="D79" s="396" t="s">
        <v>190</v>
      </c>
      <c r="E79" s="879">
        <f>Parameter!$C$94</f>
        <v>3500</v>
      </c>
      <c r="F79" s="115" t="s">
        <v>98</v>
      </c>
      <c r="G79" s="111" t="s">
        <v>190</v>
      </c>
      <c r="H79" s="397">
        <v>1</v>
      </c>
      <c r="I79" s="398"/>
      <c r="J79" s="399">
        <f>IFERROR(J$5*J13/100*J$21*Parameter!$C71,0)</f>
        <v>0</v>
      </c>
      <c r="K79" s="112">
        <f t="shared" si="38"/>
        <v>0</v>
      </c>
      <c r="L79" s="113">
        <f t="shared" si="22"/>
        <v>0</v>
      </c>
      <c r="M79" s="399">
        <f>IFERROR(M$5*M13/100*M$21*Parameter!$C71,0)</f>
        <v>0</v>
      </c>
      <c r="N79" s="112">
        <f t="shared" si="24"/>
        <v>0</v>
      </c>
      <c r="O79" s="113">
        <f t="shared" si="25"/>
        <v>0</v>
      </c>
      <c r="P79" s="399">
        <f>IFERROR(P$5*P13/100*P$21*Parameter!$C71,0)</f>
        <v>0</v>
      </c>
      <c r="Q79" s="112">
        <f t="shared" si="24"/>
        <v>0</v>
      </c>
      <c r="R79" s="113">
        <f t="shared" si="28"/>
        <v>0</v>
      </c>
      <c r="S79" s="399">
        <f>IFERROR(S$5*S13/100*S$21*Parameter!$C71,0)</f>
        <v>0</v>
      </c>
      <c r="T79" s="112">
        <f t="shared" si="24"/>
        <v>0</v>
      </c>
      <c r="U79" s="113">
        <f t="shared" si="31"/>
        <v>0</v>
      </c>
      <c r="V79" s="399">
        <f>IFERROR(V$5*V13/100*V$21*Parameter!$C71,0)</f>
        <v>0</v>
      </c>
      <c r="W79" s="112">
        <f t="shared" si="24"/>
        <v>0</v>
      </c>
      <c r="X79" s="113">
        <f t="shared" si="34"/>
        <v>0</v>
      </c>
      <c r="Y79" s="399">
        <f>IFERROR(Y$5*Y13/100*Y$21*Parameter!$C71,0)</f>
        <v>0</v>
      </c>
      <c r="Z79" s="112">
        <f t="shared" si="24"/>
        <v>0</v>
      </c>
      <c r="AA79" s="113">
        <f t="shared" si="37"/>
        <v>0</v>
      </c>
      <c r="AB79" s="10"/>
    </row>
    <row r="80" spans="1:28" ht="14.25" customHeight="1">
      <c r="A80" s="453" t="s">
        <v>166</v>
      </c>
      <c r="B80" s="405" t="s">
        <v>531</v>
      </c>
      <c r="C80" s="403" t="s">
        <v>53</v>
      </c>
      <c r="D80" s="403" t="s">
        <v>516</v>
      </c>
      <c r="E80" s="880">
        <v>500</v>
      </c>
      <c r="F80" s="102" t="s">
        <v>191</v>
      </c>
      <c r="G80" s="403" t="s">
        <v>516</v>
      </c>
      <c r="H80" s="411">
        <v>1</v>
      </c>
      <c r="I80" s="405"/>
      <c r="J80" s="406">
        <f>IFERROR(J$5*(J$8-J$22)*J9/100,0)</f>
        <v>0</v>
      </c>
      <c r="K80" s="104">
        <f t="shared" si="38"/>
        <v>0</v>
      </c>
      <c r="L80" s="105">
        <f t="shared" si="22"/>
        <v>0</v>
      </c>
      <c r="M80" s="406">
        <f t="shared" ref="M80" si="59">IFERROR(M$5*(M$8-M$22)*M9/100,0)</f>
        <v>0</v>
      </c>
      <c r="N80" s="104">
        <f t="shared" ref="N80:Z95" si="60">ROUND($E80*M80,)</f>
        <v>0</v>
      </c>
      <c r="O80" s="105">
        <f t="shared" si="25"/>
        <v>0</v>
      </c>
      <c r="P80" s="406">
        <f t="shared" ref="P80" si="61">IFERROR(P$5*(P$8-P$22)*P9/100,0)</f>
        <v>0</v>
      </c>
      <c r="Q80" s="104">
        <f t="shared" si="60"/>
        <v>0</v>
      </c>
      <c r="R80" s="105">
        <f t="shared" si="28"/>
        <v>0</v>
      </c>
      <c r="S80" s="406">
        <f t="shared" ref="S80" si="62">IFERROR(S$5*(S$8-S$22)*S9/100,0)</f>
        <v>0</v>
      </c>
      <c r="T80" s="104">
        <f t="shared" si="60"/>
        <v>0</v>
      </c>
      <c r="U80" s="105">
        <f t="shared" si="31"/>
        <v>0</v>
      </c>
      <c r="V80" s="406">
        <f t="shared" ref="V80" si="63">IFERROR(V$5*(V$8-V$22)*V9/100,0)</f>
        <v>0</v>
      </c>
      <c r="W80" s="104">
        <f t="shared" si="60"/>
        <v>0</v>
      </c>
      <c r="X80" s="105">
        <f t="shared" si="34"/>
        <v>0</v>
      </c>
      <c r="Y80" s="406">
        <f t="shared" ref="Y80" si="64">IFERROR(Y$5*(Y$8-Y$22)*Y9/100,0)</f>
        <v>0</v>
      </c>
      <c r="Z80" s="104">
        <f t="shared" si="60"/>
        <v>0</v>
      </c>
      <c r="AA80" s="105">
        <f t="shared" si="37"/>
        <v>0</v>
      </c>
      <c r="AB80" s="10"/>
    </row>
    <row r="81" spans="1:28" ht="14.25" customHeight="1">
      <c r="A81" s="415" t="s">
        <v>166</v>
      </c>
      <c r="B81" s="394"/>
      <c r="C81" s="392" t="s">
        <v>57</v>
      </c>
      <c r="D81" s="392" t="s">
        <v>516</v>
      </c>
      <c r="E81" s="95">
        <v>500</v>
      </c>
      <c r="F81" s="94" t="s">
        <v>191</v>
      </c>
      <c r="G81" s="392" t="s">
        <v>516</v>
      </c>
      <c r="H81" s="393">
        <v>1</v>
      </c>
      <c r="I81" s="394"/>
      <c r="J81" s="395">
        <f>IFERROR(J$5*(J$8-J$22)*J10/100,0)</f>
        <v>0</v>
      </c>
      <c r="K81" s="92">
        <f t="shared" si="38"/>
        <v>0</v>
      </c>
      <c r="L81" s="93">
        <f t="shared" si="22"/>
        <v>0</v>
      </c>
      <c r="M81" s="395">
        <f t="shared" ref="M81" si="65">IFERROR(M$5*(M$8-M$22)*M10/100,0)</f>
        <v>0</v>
      </c>
      <c r="N81" s="92">
        <f t="shared" si="60"/>
        <v>0</v>
      </c>
      <c r="O81" s="93">
        <f t="shared" si="25"/>
        <v>0</v>
      </c>
      <c r="P81" s="395">
        <f t="shared" ref="P81" si="66">IFERROR(P$5*(P$8-P$22)*P10/100,0)</f>
        <v>0</v>
      </c>
      <c r="Q81" s="92">
        <f t="shared" si="60"/>
        <v>0</v>
      </c>
      <c r="R81" s="93">
        <f t="shared" si="28"/>
        <v>0</v>
      </c>
      <c r="S81" s="395">
        <f t="shared" ref="S81" si="67">IFERROR(S$5*(S$8-S$22)*S10/100,0)</f>
        <v>0</v>
      </c>
      <c r="T81" s="92">
        <f t="shared" si="60"/>
        <v>0</v>
      </c>
      <c r="U81" s="93">
        <f t="shared" si="31"/>
        <v>0</v>
      </c>
      <c r="V81" s="395">
        <f t="shared" ref="V81" si="68">IFERROR(V$5*(V$8-V$22)*V10/100,0)</f>
        <v>0</v>
      </c>
      <c r="W81" s="92">
        <f t="shared" si="60"/>
        <v>0</v>
      </c>
      <c r="X81" s="93">
        <f t="shared" si="34"/>
        <v>0</v>
      </c>
      <c r="Y81" s="395">
        <f t="shared" ref="Y81" si="69">IFERROR(Y$5*(Y$8-Y$22)*Y10/100,0)</f>
        <v>0</v>
      </c>
      <c r="Z81" s="92">
        <f t="shared" si="60"/>
        <v>0</v>
      </c>
      <c r="AA81" s="93">
        <f t="shared" si="37"/>
        <v>0</v>
      </c>
      <c r="AB81" s="10"/>
    </row>
    <row r="82" spans="1:28" ht="14.25" customHeight="1">
      <c r="A82" s="415" t="s">
        <v>166</v>
      </c>
      <c r="B82" s="394"/>
      <c r="C82" s="392" t="s">
        <v>60</v>
      </c>
      <c r="D82" s="392" t="s">
        <v>516</v>
      </c>
      <c r="E82" s="95">
        <v>500</v>
      </c>
      <c r="F82" s="94" t="s">
        <v>191</v>
      </c>
      <c r="G82" s="392" t="s">
        <v>516</v>
      </c>
      <c r="H82" s="393">
        <v>1</v>
      </c>
      <c r="I82" s="394"/>
      <c r="J82" s="395">
        <f>IFERROR(J$5*(J$8-J$22)*J11/100,0)</f>
        <v>0</v>
      </c>
      <c r="K82" s="92">
        <f t="shared" si="38"/>
        <v>0</v>
      </c>
      <c r="L82" s="93">
        <f t="shared" si="22"/>
        <v>0</v>
      </c>
      <c r="M82" s="395">
        <f t="shared" ref="M82" si="70">IFERROR(M$5*(M$8-M$22)*M11/100,0)</f>
        <v>0</v>
      </c>
      <c r="N82" s="92">
        <f t="shared" si="60"/>
        <v>0</v>
      </c>
      <c r="O82" s="93">
        <f t="shared" si="25"/>
        <v>0</v>
      </c>
      <c r="P82" s="395">
        <f t="shared" ref="P82" si="71">IFERROR(P$5*(P$8-P$22)*P11/100,0)</f>
        <v>0</v>
      </c>
      <c r="Q82" s="92">
        <f t="shared" si="60"/>
        <v>0</v>
      </c>
      <c r="R82" s="93">
        <f t="shared" si="28"/>
        <v>0</v>
      </c>
      <c r="S82" s="395">
        <f t="shared" ref="S82" si="72">IFERROR(S$5*(S$8-S$22)*S11/100,0)</f>
        <v>0</v>
      </c>
      <c r="T82" s="92">
        <f t="shared" si="60"/>
        <v>0</v>
      </c>
      <c r="U82" s="93">
        <f t="shared" si="31"/>
        <v>0</v>
      </c>
      <c r="V82" s="395">
        <f t="shared" ref="V82" si="73">IFERROR(V$5*(V$8-V$22)*V11/100,0)</f>
        <v>0</v>
      </c>
      <c r="W82" s="92">
        <f t="shared" si="60"/>
        <v>0</v>
      </c>
      <c r="X82" s="93">
        <f t="shared" si="34"/>
        <v>0</v>
      </c>
      <c r="Y82" s="395">
        <f t="shared" ref="Y82" si="74">IFERROR(Y$5*(Y$8-Y$22)*Y11/100,0)</f>
        <v>0</v>
      </c>
      <c r="Z82" s="92">
        <f t="shared" si="60"/>
        <v>0</v>
      </c>
      <c r="AA82" s="93">
        <f t="shared" si="37"/>
        <v>0</v>
      </c>
      <c r="AB82" s="10"/>
    </row>
    <row r="83" spans="1:28" ht="14.25" customHeight="1">
      <c r="A83" s="415" t="s">
        <v>166</v>
      </c>
      <c r="B83" s="394"/>
      <c r="C83" s="392" t="s">
        <v>63</v>
      </c>
      <c r="D83" s="392" t="s">
        <v>516</v>
      </c>
      <c r="E83" s="95">
        <v>500</v>
      </c>
      <c r="F83" s="94" t="s">
        <v>191</v>
      </c>
      <c r="G83" s="392" t="s">
        <v>516</v>
      </c>
      <c r="H83" s="393">
        <v>1</v>
      </c>
      <c r="I83" s="394"/>
      <c r="J83" s="395">
        <f>IFERROR(J$5*(J$8-J$22)*J12/100,0)</f>
        <v>0</v>
      </c>
      <c r="K83" s="92">
        <f t="shared" si="38"/>
        <v>0</v>
      </c>
      <c r="L83" s="93">
        <f t="shared" si="22"/>
        <v>0</v>
      </c>
      <c r="M83" s="395">
        <f t="shared" ref="M83" si="75">IFERROR(M$5*(M$8-M$22)*M12/100,0)</f>
        <v>0</v>
      </c>
      <c r="N83" s="92">
        <f t="shared" si="60"/>
        <v>0</v>
      </c>
      <c r="O83" s="93">
        <f t="shared" si="25"/>
        <v>0</v>
      </c>
      <c r="P83" s="395">
        <f t="shared" ref="P83" si="76">IFERROR(P$5*(P$8-P$22)*P12/100,0)</f>
        <v>0</v>
      </c>
      <c r="Q83" s="92">
        <f t="shared" si="60"/>
        <v>0</v>
      </c>
      <c r="R83" s="93">
        <f t="shared" si="28"/>
        <v>0</v>
      </c>
      <c r="S83" s="395">
        <f t="shared" ref="S83" si="77">IFERROR(S$5*(S$8-S$22)*S12/100,0)</f>
        <v>0</v>
      </c>
      <c r="T83" s="92">
        <f t="shared" si="60"/>
        <v>0</v>
      </c>
      <c r="U83" s="93">
        <f t="shared" si="31"/>
        <v>0</v>
      </c>
      <c r="V83" s="395">
        <f t="shared" ref="V83" si="78">IFERROR(V$5*(V$8-V$22)*V12/100,0)</f>
        <v>0</v>
      </c>
      <c r="W83" s="92">
        <f t="shared" si="60"/>
        <v>0</v>
      </c>
      <c r="X83" s="93">
        <f t="shared" si="34"/>
        <v>0</v>
      </c>
      <c r="Y83" s="395">
        <f t="shared" ref="Y83" si="79">IFERROR(Y$5*(Y$8-Y$22)*Y12/100,0)</f>
        <v>0</v>
      </c>
      <c r="Z83" s="92">
        <f t="shared" si="60"/>
        <v>0</v>
      </c>
      <c r="AA83" s="93">
        <f t="shared" si="37"/>
        <v>0</v>
      </c>
      <c r="AB83" s="10"/>
    </row>
    <row r="84" spans="1:28" ht="14.25" customHeight="1">
      <c r="A84" s="579" t="s">
        <v>166</v>
      </c>
      <c r="B84" s="409"/>
      <c r="C84" s="407" t="s">
        <v>65</v>
      </c>
      <c r="D84" s="211" t="s">
        <v>526</v>
      </c>
      <c r="E84" s="120">
        <v>500</v>
      </c>
      <c r="F84" s="116" t="s">
        <v>191</v>
      </c>
      <c r="G84" s="211" t="s">
        <v>526</v>
      </c>
      <c r="H84" s="412">
        <v>1</v>
      </c>
      <c r="I84" s="409"/>
      <c r="J84" s="410">
        <f>IFERROR(J$5*(J$8-J$22)*J13/100,0)</f>
        <v>0</v>
      </c>
      <c r="K84" s="118">
        <f t="shared" si="38"/>
        <v>0</v>
      </c>
      <c r="L84" s="119">
        <f t="shared" si="22"/>
        <v>0</v>
      </c>
      <c r="M84" s="410">
        <f t="shared" ref="M84" si="80">IFERROR(M$5*(M$8-M$22)*M13/100,0)</f>
        <v>0</v>
      </c>
      <c r="N84" s="118">
        <f t="shared" si="60"/>
        <v>0</v>
      </c>
      <c r="O84" s="119">
        <f t="shared" si="25"/>
        <v>0</v>
      </c>
      <c r="P84" s="410">
        <f t="shared" ref="P84" si="81">IFERROR(P$5*(P$8-P$22)*P13/100,0)</f>
        <v>0</v>
      </c>
      <c r="Q84" s="118">
        <f t="shared" si="60"/>
        <v>0</v>
      </c>
      <c r="R84" s="119">
        <f t="shared" si="28"/>
        <v>0</v>
      </c>
      <c r="S84" s="410">
        <f t="shared" ref="S84" si="82">IFERROR(S$5*(S$8-S$22)*S13/100,0)</f>
        <v>0</v>
      </c>
      <c r="T84" s="118">
        <f t="shared" si="60"/>
        <v>0</v>
      </c>
      <c r="U84" s="119">
        <f t="shared" si="31"/>
        <v>0</v>
      </c>
      <c r="V84" s="410">
        <f t="shared" ref="V84" si="83">IFERROR(V$5*(V$8-V$22)*V13/100,0)</f>
        <v>0</v>
      </c>
      <c r="W84" s="118">
        <f t="shared" si="60"/>
        <v>0</v>
      </c>
      <c r="X84" s="119">
        <f t="shared" si="34"/>
        <v>0</v>
      </c>
      <c r="Y84" s="410">
        <f t="shared" ref="Y84" si="84">IFERROR(Y$5*(Y$8-Y$22)*Y13/100,0)</f>
        <v>0</v>
      </c>
      <c r="Z84" s="118">
        <f t="shared" si="60"/>
        <v>0</v>
      </c>
      <c r="AA84" s="119">
        <f t="shared" si="37"/>
        <v>0</v>
      </c>
      <c r="AB84" s="10"/>
    </row>
    <row r="85" spans="1:28" ht="14.25" customHeight="1">
      <c r="A85" s="413" t="s">
        <v>168</v>
      </c>
      <c r="B85" s="121"/>
      <c r="C85" s="122" t="s">
        <v>5</v>
      </c>
      <c r="D85" s="124" t="s">
        <v>461</v>
      </c>
      <c r="E85" s="451">
        <f>Parameter!$C$95</f>
        <v>100</v>
      </c>
      <c r="F85" s="123" t="s">
        <v>192</v>
      </c>
      <c r="G85" s="124" t="s">
        <v>461</v>
      </c>
      <c r="H85" s="125">
        <v>1</v>
      </c>
      <c r="I85" s="121"/>
      <c r="J85" s="126">
        <f>IF(J$32="Vollabdichtung",J$5*J$21,IF(J$32="Teilabdichtung",J$5*J$21*Parameter!$C$43/100,0))</f>
        <v>0</v>
      </c>
      <c r="K85" s="127">
        <f t="shared" si="38"/>
        <v>0</v>
      </c>
      <c r="L85" s="128">
        <f t="shared" si="22"/>
        <v>0</v>
      </c>
      <c r="M85" s="126">
        <f>IF(M$32="Vollabdichtung",M$5*M$21,IF(M$32="Teilabdichtung",M$5*M$21*Parameter!$C$43/100,0))</f>
        <v>0</v>
      </c>
      <c r="N85" s="127">
        <f t="shared" si="60"/>
        <v>0</v>
      </c>
      <c r="O85" s="128">
        <f t="shared" si="25"/>
        <v>0</v>
      </c>
      <c r="P85" s="126">
        <f>IF(P$32="Vollabdichtung",P$5*P$21,IF(P$32="Teilabdichtung",P$5*P$21*Parameter!$C$43/100,0))</f>
        <v>0</v>
      </c>
      <c r="Q85" s="127">
        <f t="shared" si="60"/>
        <v>0</v>
      </c>
      <c r="R85" s="128">
        <f t="shared" si="28"/>
        <v>0</v>
      </c>
      <c r="S85" s="126">
        <f>IF(S$32="Vollabdichtung",S$5*S$21,IF(S$32="Teilabdichtung",S$5*S$21*Parameter!$C$43/100,0))</f>
        <v>0</v>
      </c>
      <c r="T85" s="127">
        <f t="shared" si="60"/>
        <v>0</v>
      </c>
      <c r="U85" s="128">
        <f t="shared" si="31"/>
        <v>0</v>
      </c>
      <c r="V85" s="126">
        <f>IF(V$32="Vollabdichtung",V$5*V$21,IF(V$32="Teilabdichtung",V$5*V$21*Parameter!$C$43/100,0))</f>
        <v>0</v>
      </c>
      <c r="W85" s="127">
        <f t="shared" si="60"/>
        <v>0</v>
      </c>
      <c r="X85" s="128">
        <f t="shared" si="34"/>
        <v>0</v>
      </c>
      <c r="Y85" s="126">
        <f>IF(Y$32="Vollabdichtung",Y$5*Y$21,IF(Y$32="Teilabdichtung",Y$5*Y$21*Parameter!$C$43/100,0))</f>
        <v>0</v>
      </c>
      <c r="Z85" s="127">
        <f t="shared" si="60"/>
        <v>0</v>
      </c>
      <c r="AA85" s="128">
        <f t="shared" si="37"/>
        <v>0</v>
      </c>
      <c r="AB85" s="10"/>
    </row>
    <row r="86" spans="1:28" ht="14.25" customHeight="1">
      <c r="A86" s="414" t="s">
        <v>497</v>
      </c>
      <c r="B86" s="390" t="s">
        <v>191</v>
      </c>
      <c r="C86" s="388" t="s">
        <v>5</v>
      </c>
      <c r="D86" s="403" t="s">
        <v>516</v>
      </c>
      <c r="E86" s="129">
        <f>Parameter!$C$96</f>
        <v>300</v>
      </c>
      <c r="F86" s="114" t="s">
        <v>191</v>
      </c>
      <c r="G86" s="403" t="s">
        <v>516</v>
      </c>
      <c r="H86" s="389">
        <v>1</v>
      </c>
      <c r="I86" s="390"/>
      <c r="J86" s="391">
        <f>IFERROR(J$5*(J$22-J$31),0)</f>
        <v>0</v>
      </c>
      <c r="K86" s="108">
        <f t="shared" si="38"/>
        <v>0</v>
      </c>
      <c r="L86" s="109">
        <f t="shared" si="22"/>
        <v>0</v>
      </c>
      <c r="M86" s="391">
        <f t="shared" ref="M86" si="85">IFERROR(M$5*(M$22-M$31),0)</f>
        <v>0</v>
      </c>
      <c r="N86" s="108">
        <f t="shared" si="60"/>
        <v>0</v>
      </c>
      <c r="O86" s="109">
        <f t="shared" si="25"/>
        <v>0</v>
      </c>
      <c r="P86" s="391">
        <f t="shared" ref="P86" si="86">IFERROR(P$5*(P$22-P$31),0)</f>
        <v>0</v>
      </c>
      <c r="Q86" s="108">
        <f t="shared" si="60"/>
        <v>0</v>
      </c>
      <c r="R86" s="109">
        <f t="shared" si="28"/>
        <v>0</v>
      </c>
      <c r="S86" s="391">
        <f t="shared" ref="S86" si="87">IFERROR(S$5*(S$22-S$31),0)</f>
        <v>0</v>
      </c>
      <c r="T86" s="108">
        <f t="shared" si="60"/>
        <v>0</v>
      </c>
      <c r="U86" s="109">
        <f t="shared" si="31"/>
        <v>0</v>
      </c>
      <c r="V86" s="391">
        <f t="shared" ref="V86" si="88">IFERROR(V$5*(V$22-V$31),0)</f>
        <v>0</v>
      </c>
      <c r="W86" s="108">
        <f t="shared" si="60"/>
        <v>0</v>
      </c>
      <c r="X86" s="109">
        <f t="shared" si="34"/>
        <v>0</v>
      </c>
      <c r="Y86" s="391">
        <f t="shared" ref="Y86" si="89">IFERROR(Y$5*(Y$22-Y$31),0)</f>
        <v>0</v>
      </c>
      <c r="Z86" s="108">
        <f t="shared" si="60"/>
        <v>0</v>
      </c>
      <c r="AA86" s="109">
        <f t="shared" si="37"/>
        <v>0</v>
      </c>
      <c r="AB86" s="10"/>
    </row>
    <row r="87" spans="1:28" ht="14.25" customHeight="1">
      <c r="A87" s="415" t="s">
        <v>497</v>
      </c>
      <c r="B87" s="394" t="s">
        <v>532</v>
      </c>
      <c r="C87" s="392" t="s">
        <v>5</v>
      </c>
      <c r="D87" s="392" t="s">
        <v>516</v>
      </c>
      <c r="E87" s="95">
        <f>Parameter!$C$97</f>
        <v>200</v>
      </c>
      <c r="F87" s="94" t="s">
        <v>191</v>
      </c>
      <c r="G87" s="97" t="s">
        <v>346</v>
      </c>
      <c r="H87" s="393">
        <v>1</v>
      </c>
      <c r="I87" s="394"/>
      <c r="J87" s="395">
        <f>IFERROR(J$5*((J$33-J$34)*Parameter!$C$44/100+J$34),0)</f>
        <v>0</v>
      </c>
      <c r="K87" s="92">
        <f t="shared" si="38"/>
        <v>0</v>
      </c>
      <c r="L87" s="93">
        <f t="shared" si="22"/>
        <v>0</v>
      </c>
      <c r="M87" s="395">
        <f>IFERROR(M$5*((M$33-M$34)*Parameter!$C$44/100+M$34),0)</f>
        <v>0</v>
      </c>
      <c r="N87" s="92">
        <f t="shared" si="60"/>
        <v>0</v>
      </c>
      <c r="O87" s="93">
        <f t="shared" si="25"/>
        <v>0</v>
      </c>
      <c r="P87" s="395">
        <f>IFERROR(P$5*((P$33-P$34)*Parameter!$C$44/100+P$34),0)</f>
        <v>0</v>
      </c>
      <c r="Q87" s="92">
        <f t="shared" si="60"/>
        <v>0</v>
      </c>
      <c r="R87" s="93">
        <f t="shared" si="28"/>
        <v>0</v>
      </c>
      <c r="S87" s="395">
        <f>IFERROR(S$5*((S$33-S$34)*Parameter!$C$44/100+S$34),0)</f>
        <v>0</v>
      </c>
      <c r="T87" s="92">
        <f t="shared" si="60"/>
        <v>0</v>
      </c>
      <c r="U87" s="93">
        <f t="shared" si="31"/>
        <v>0</v>
      </c>
      <c r="V87" s="395">
        <f>IFERROR(V$5*((V$33-V$34)*Parameter!$C$44/100+V$34),0)</f>
        <v>0</v>
      </c>
      <c r="W87" s="92">
        <f t="shared" si="60"/>
        <v>0</v>
      </c>
      <c r="X87" s="93">
        <f t="shared" si="34"/>
        <v>0</v>
      </c>
      <c r="Y87" s="395">
        <f>IFERROR(Y$5*((Y$33-Y$34)*Parameter!$C$44/100+Y$34),0)</f>
        <v>0</v>
      </c>
      <c r="Z87" s="92">
        <f t="shared" si="60"/>
        <v>0</v>
      </c>
      <c r="AA87" s="93">
        <f t="shared" si="37"/>
        <v>0</v>
      </c>
      <c r="AB87" s="10"/>
    </row>
    <row r="88" spans="1:28" ht="14.25" customHeight="1">
      <c r="A88" s="415" t="s">
        <v>497</v>
      </c>
      <c r="B88" s="394" t="s">
        <v>533</v>
      </c>
      <c r="C88" s="392" t="s">
        <v>5</v>
      </c>
      <c r="D88" s="392" t="s">
        <v>516</v>
      </c>
      <c r="E88" s="95">
        <f>Parameter!$C$98</f>
        <v>20</v>
      </c>
      <c r="F88" s="94" t="s">
        <v>100</v>
      </c>
      <c r="G88" s="97" t="s">
        <v>346</v>
      </c>
      <c r="H88" s="393">
        <v>1</v>
      </c>
      <c r="I88" s="394"/>
      <c r="J88" s="395">
        <f>IFERROR(J$5*J$33-J$87,0)</f>
        <v>0</v>
      </c>
      <c r="K88" s="92">
        <f t="shared" si="38"/>
        <v>0</v>
      </c>
      <c r="L88" s="93">
        <f t="shared" si="22"/>
        <v>0</v>
      </c>
      <c r="M88" s="395">
        <f t="shared" ref="M88" si="90">IFERROR(M$5*M$33-M$87,0)</f>
        <v>0</v>
      </c>
      <c r="N88" s="92">
        <f t="shared" si="60"/>
        <v>0</v>
      </c>
      <c r="O88" s="93">
        <f t="shared" si="25"/>
        <v>0</v>
      </c>
      <c r="P88" s="395">
        <f t="shared" ref="P88" si="91">IFERROR(P$5*P$33-P$87,0)</f>
        <v>0</v>
      </c>
      <c r="Q88" s="92">
        <f t="shared" si="60"/>
        <v>0</v>
      </c>
      <c r="R88" s="93">
        <f t="shared" si="28"/>
        <v>0</v>
      </c>
      <c r="S88" s="395">
        <f t="shared" ref="S88" si="92">IFERROR(S$5*S$33-S$87,0)</f>
        <v>0</v>
      </c>
      <c r="T88" s="92">
        <f t="shared" si="60"/>
        <v>0</v>
      </c>
      <c r="U88" s="93">
        <f t="shared" si="31"/>
        <v>0</v>
      </c>
      <c r="V88" s="395">
        <f t="shared" ref="V88" si="93">IFERROR(V$5*V$33-V$87,0)</f>
        <v>0</v>
      </c>
      <c r="W88" s="92">
        <f t="shared" si="60"/>
        <v>0</v>
      </c>
      <c r="X88" s="93">
        <f t="shared" si="34"/>
        <v>0</v>
      </c>
      <c r="Y88" s="395">
        <f t="shared" ref="Y88" si="94">IFERROR(Y$5*Y$33-Y$87,0)</f>
        <v>0</v>
      </c>
      <c r="Z88" s="92">
        <f t="shared" si="60"/>
        <v>0</v>
      </c>
      <c r="AA88" s="93">
        <f t="shared" si="37"/>
        <v>0</v>
      </c>
      <c r="AB88" s="10"/>
    </row>
    <row r="89" spans="1:28" ht="14.25" customHeight="1">
      <c r="A89" s="579" t="s">
        <v>497</v>
      </c>
      <c r="B89" s="283" t="s">
        <v>534</v>
      </c>
      <c r="C89" s="284" t="s">
        <v>5</v>
      </c>
      <c r="D89" s="211" t="s">
        <v>348</v>
      </c>
      <c r="E89" s="120">
        <f>Parameter!$C$99</f>
        <v>2.5</v>
      </c>
      <c r="F89" s="116" t="s">
        <v>98</v>
      </c>
      <c r="G89" s="286" t="s">
        <v>190</v>
      </c>
      <c r="H89" s="409">
        <f>1/1000</f>
        <v>1E-3</v>
      </c>
      <c r="I89" s="409"/>
      <c r="J89" s="410">
        <f>IFERROR(J$34*J$5*Parameter!$C$45,0)</f>
        <v>0</v>
      </c>
      <c r="K89" s="285">
        <f>ROUND($E89*J89,)</f>
        <v>0</v>
      </c>
      <c r="L89" s="119">
        <f t="shared" si="22"/>
        <v>0</v>
      </c>
      <c r="M89" s="410">
        <f>IFERROR(M$34*M$5*Parameter!$C$45,0)</f>
        <v>0</v>
      </c>
      <c r="N89" s="285">
        <f t="shared" si="60"/>
        <v>0</v>
      </c>
      <c r="O89" s="119">
        <f t="shared" si="25"/>
        <v>0</v>
      </c>
      <c r="P89" s="410">
        <f>IFERROR(P$34*P$5*Parameter!$C$45,0)</f>
        <v>0</v>
      </c>
      <c r="Q89" s="285">
        <f t="shared" si="60"/>
        <v>0</v>
      </c>
      <c r="R89" s="119">
        <f t="shared" si="28"/>
        <v>0</v>
      </c>
      <c r="S89" s="410">
        <f>IFERROR(S$34*S$5*Parameter!$C$45,0)</f>
        <v>0</v>
      </c>
      <c r="T89" s="285">
        <f t="shared" si="60"/>
        <v>0</v>
      </c>
      <c r="U89" s="119">
        <f t="shared" si="31"/>
        <v>0</v>
      </c>
      <c r="V89" s="410">
        <f>IFERROR(V$34*V$5*Parameter!$C$45,0)</f>
        <v>0</v>
      </c>
      <c r="W89" s="285">
        <f t="shared" si="60"/>
        <v>0</v>
      </c>
      <c r="X89" s="119">
        <f t="shared" si="34"/>
        <v>0</v>
      </c>
      <c r="Y89" s="410">
        <f>IFERROR(Y$34*Y$5*Parameter!$C$45,0)</f>
        <v>0</v>
      </c>
      <c r="Z89" s="285">
        <f t="shared" si="60"/>
        <v>0</v>
      </c>
      <c r="AA89" s="119">
        <f t="shared" si="37"/>
        <v>0</v>
      </c>
      <c r="AB89" s="10"/>
    </row>
    <row r="90" spans="1:28" s="56" customFormat="1" ht="14.25" customHeight="1">
      <c r="A90" s="816" t="s">
        <v>104</v>
      </c>
      <c r="B90" s="533" t="s">
        <v>508</v>
      </c>
      <c r="C90" s="535" t="s">
        <v>5</v>
      </c>
      <c r="D90" s="403" t="s">
        <v>516</v>
      </c>
      <c r="E90" s="534">
        <f>Parameter!$C$100</f>
        <v>5</v>
      </c>
      <c r="F90" s="533"/>
      <c r="G90" s="535" t="s">
        <v>5</v>
      </c>
      <c r="H90" s="587"/>
      <c r="I90" s="533"/>
      <c r="J90" s="536">
        <f>IFERROR(J$53*J36/100,0)</f>
        <v>0</v>
      </c>
      <c r="K90" s="574">
        <f t="shared" ref="K90:K95" si="95">ROUND($E90*J90,)</f>
        <v>0</v>
      </c>
      <c r="L90" s="575"/>
      <c r="M90" s="536">
        <f t="shared" ref="M90:Y95" si="96">IFERROR(M$53*M36/100,0)</f>
        <v>0</v>
      </c>
      <c r="N90" s="574">
        <f t="shared" si="60"/>
        <v>0</v>
      </c>
      <c r="O90" s="575"/>
      <c r="P90" s="536">
        <f t="shared" ref="P90" si="97">IFERROR(P$53*P36/100,0)</f>
        <v>0</v>
      </c>
      <c r="Q90" s="574">
        <f t="shared" si="60"/>
        <v>0</v>
      </c>
      <c r="R90" s="575"/>
      <c r="S90" s="536">
        <f t="shared" ref="S90" si="98">IFERROR(S$53*S36/100,0)</f>
        <v>0</v>
      </c>
      <c r="T90" s="574">
        <f t="shared" si="60"/>
        <v>0</v>
      </c>
      <c r="U90" s="575"/>
      <c r="V90" s="536">
        <f t="shared" ref="V90" si="99">IFERROR(V$53*V36/100,0)</f>
        <v>0</v>
      </c>
      <c r="W90" s="574">
        <f t="shared" si="60"/>
        <v>0</v>
      </c>
      <c r="X90" s="575"/>
      <c r="Y90" s="536">
        <f t="shared" ref="Y90" si="100">IFERROR(Y$53*Y36/100,0)</f>
        <v>0</v>
      </c>
      <c r="Z90" s="574">
        <f t="shared" si="60"/>
        <v>0</v>
      </c>
      <c r="AA90" s="575"/>
      <c r="AB90" s="78"/>
    </row>
    <row r="91" spans="1:28" s="56" customFormat="1" ht="14.25" customHeight="1">
      <c r="A91" s="817" t="s">
        <v>104</v>
      </c>
      <c r="B91" s="537" t="s">
        <v>509</v>
      </c>
      <c r="C91" s="539" t="s">
        <v>5</v>
      </c>
      <c r="D91" s="392" t="s">
        <v>516</v>
      </c>
      <c r="E91" s="538">
        <f>Parameter!$C$101</f>
        <v>-20</v>
      </c>
      <c r="F91" s="537"/>
      <c r="G91" s="539" t="s">
        <v>5</v>
      </c>
      <c r="H91" s="540"/>
      <c r="I91" s="537"/>
      <c r="J91" s="541">
        <f t="shared" ref="J91:J95" si="101">IFERROR(J$53*J37/100,0)</f>
        <v>0</v>
      </c>
      <c r="K91" s="279">
        <f t="shared" si="95"/>
        <v>0</v>
      </c>
      <c r="L91" s="540"/>
      <c r="M91" s="541">
        <f t="shared" si="96"/>
        <v>0</v>
      </c>
      <c r="N91" s="279">
        <f t="shared" si="60"/>
        <v>0</v>
      </c>
      <c r="O91" s="540"/>
      <c r="P91" s="541">
        <f t="shared" si="96"/>
        <v>0</v>
      </c>
      <c r="Q91" s="279">
        <f t="shared" si="60"/>
        <v>0</v>
      </c>
      <c r="R91" s="540"/>
      <c r="S91" s="541">
        <f t="shared" si="96"/>
        <v>0</v>
      </c>
      <c r="T91" s="279">
        <f t="shared" si="60"/>
        <v>0</v>
      </c>
      <c r="U91" s="540"/>
      <c r="V91" s="541">
        <f t="shared" si="96"/>
        <v>0</v>
      </c>
      <c r="W91" s="279">
        <f t="shared" si="60"/>
        <v>0</v>
      </c>
      <c r="X91" s="540"/>
      <c r="Y91" s="541">
        <f t="shared" si="96"/>
        <v>0</v>
      </c>
      <c r="Z91" s="279">
        <f t="shared" si="60"/>
        <v>0</v>
      </c>
      <c r="AA91" s="540"/>
      <c r="AB91" s="78"/>
    </row>
    <row r="92" spans="1:28" s="56" customFormat="1" ht="14.25" customHeight="1">
      <c r="A92" s="817" t="s">
        <v>104</v>
      </c>
      <c r="B92" s="537" t="s">
        <v>510</v>
      </c>
      <c r="C92" s="539" t="s">
        <v>5</v>
      </c>
      <c r="D92" s="392" t="s">
        <v>516</v>
      </c>
      <c r="E92" s="538">
        <f>Parameter!$C$102</f>
        <v>-20</v>
      </c>
      <c r="F92" s="537"/>
      <c r="G92" s="539" t="s">
        <v>5</v>
      </c>
      <c r="H92" s="540"/>
      <c r="I92" s="537"/>
      <c r="J92" s="541">
        <f t="shared" si="101"/>
        <v>0</v>
      </c>
      <c r="K92" s="279">
        <f t="shared" si="95"/>
        <v>0</v>
      </c>
      <c r="L92" s="540"/>
      <c r="M92" s="541">
        <f t="shared" si="96"/>
        <v>0</v>
      </c>
      <c r="N92" s="279">
        <f t="shared" si="60"/>
        <v>0</v>
      </c>
      <c r="O92" s="540"/>
      <c r="P92" s="541">
        <f t="shared" si="96"/>
        <v>0</v>
      </c>
      <c r="Q92" s="279">
        <f t="shared" si="60"/>
        <v>0</v>
      </c>
      <c r="R92" s="540"/>
      <c r="S92" s="541">
        <f t="shared" si="96"/>
        <v>0</v>
      </c>
      <c r="T92" s="279">
        <f t="shared" si="60"/>
        <v>0</v>
      </c>
      <c r="U92" s="540"/>
      <c r="V92" s="541">
        <f t="shared" si="96"/>
        <v>0</v>
      </c>
      <c r="W92" s="279">
        <f t="shared" si="60"/>
        <v>0</v>
      </c>
      <c r="X92" s="540"/>
      <c r="Y92" s="541">
        <f t="shared" si="96"/>
        <v>0</v>
      </c>
      <c r="Z92" s="279">
        <f t="shared" si="60"/>
        <v>0</v>
      </c>
      <c r="AA92" s="540"/>
      <c r="AB92" s="78"/>
    </row>
    <row r="93" spans="1:28" s="56" customFormat="1" ht="14.25" customHeight="1">
      <c r="A93" s="817" t="s">
        <v>104</v>
      </c>
      <c r="B93" s="537" t="s">
        <v>511</v>
      </c>
      <c r="C93" s="539" t="s">
        <v>5</v>
      </c>
      <c r="D93" s="392" t="s">
        <v>516</v>
      </c>
      <c r="E93" s="538">
        <f>Parameter!$C$103</f>
        <v>15</v>
      </c>
      <c r="F93" s="537"/>
      <c r="G93" s="539" t="s">
        <v>5</v>
      </c>
      <c r="H93" s="540"/>
      <c r="I93" s="537"/>
      <c r="J93" s="552">
        <f t="shared" si="101"/>
        <v>0</v>
      </c>
      <c r="K93" s="279">
        <f t="shared" si="95"/>
        <v>0</v>
      </c>
      <c r="L93" s="540"/>
      <c r="M93" s="552">
        <f t="shared" si="96"/>
        <v>0</v>
      </c>
      <c r="N93" s="279">
        <f t="shared" si="60"/>
        <v>0</v>
      </c>
      <c r="O93" s="540"/>
      <c r="P93" s="552">
        <f t="shared" si="96"/>
        <v>0</v>
      </c>
      <c r="Q93" s="279">
        <f t="shared" si="60"/>
        <v>0</v>
      </c>
      <c r="R93" s="540"/>
      <c r="S93" s="552">
        <f t="shared" si="96"/>
        <v>0</v>
      </c>
      <c r="T93" s="279">
        <f t="shared" si="60"/>
        <v>0</v>
      </c>
      <c r="U93" s="540"/>
      <c r="V93" s="552">
        <f t="shared" si="96"/>
        <v>0</v>
      </c>
      <c r="W93" s="279">
        <f t="shared" si="60"/>
        <v>0</v>
      </c>
      <c r="X93" s="540"/>
      <c r="Y93" s="552">
        <f t="shared" si="96"/>
        <v>0</v>
      </c>
      <c r="Z93" s="279">
        <f t="shared" si="60"/>
        <v>0</v>
      </c>
      <c r="AA93" s="540"/>
      <c r="AB93" s="78"/>
    </row>
    <row r="94" spans="1:28" s="56" customFormat="1" ht="14.25" customHeight="1">
      <c r="A94" s="817" t="s">
        <v>104</v>
      </c>
      <c r="B94" s="537" t="s">
        <v>512</v>
      </c>
      <c r="C94" s="539" t="s">
        <v>5</v>
      </c>
      <c r="D94" s="392" t="s">
        <v>516</v>
      </c>
      <c r="E94" s="538">
        <f>Parameter!$C$104</f>
        <v>40</v>
      </c>
      <c r="F94" s="537"/>
      <c r="G94" s="539" t="s">
        <v>5</v>
      </c>
      <c r="H94" s="540"/>
      <c r="I94" s="537"/>
      <c r="J94" s="552">
        <f t="shared" si="101"/>
        <v>0</v>
      </c>
      <c r="K94" s="279">
        <f t="shared" si="95"/>
        <v>0</v>
      </c>
      <c r="L94" s="540"/>
      <c r="M94" s="552">
        <f t="shared" si="96"/>
        <v>0</v>
      </c>
      <c r="N94" s="279">
        <f t="shared" si="60"/>
        <v>0</v>
      </c>
      <c r="O94" s="540"/>
      <c r="P94" s="552">
        <f t="shared" si="96"/>
        <v>0</v>
      </c>
      <c r="Q94" s="279">
        <f t="shared" si="60"/>
        <v>0</v>
      </c>
      <c r="R94" s="540"/>
      <c r="S94" s="552">
        <f t="shared" si="96"/>
        <v>0</v>
      </c>
      <c r="T94" s="279">
        <f t="shared" si="60"/>
        <v>0</v>
      </c>
      <c r="U94" s="540"/>
      <c r="V94" s="552">
        <f t="shared" si="96"/>
        <v>0</v>
      </c>
      <c r="W94" s="279">
        <f t="shared" si="60"/>
        <v>0</v>
      </c>
      <c r="X94" s="540"/>
      <c r="Y94" s="552">
        <f t="shared" si="96"/>
        <v>0</v>
      </c>
      <c r="Z94" s="279">
        <f t="shared" si="60"/>
        <v>0</v>
      </c>
      <c r="AA94" s="540"/>
      <c r="AB94" s="78"/>
    </row>
    <row r="95" spans="1:28" s="56" customFormat="1" ht="14.25" customHeight="1">
      <c r="A95" s="818" t="s">
        <v>104</v>
      </c>
      <c r="B95" s="542" t="s">
        <v>513</v>
      </c>
      <c r="C95" s="544" t="s">
        <v>5</v>
      </c>
      <c r="D95" s="211" t="s">
        <v>526</v>
      </c>
      <c r="E95" s="543">
        <f>Parameter!$C$105</f>
        <v>60</v>
      </c>
      <c r="F95" s="542"/>
      <c r="G95" s="544" t="s">
        <v>5</v>
      </c>
      <c r="H95" s="545"/>
      <c r="I95" s="542"/>
      <c r="J95" s="553">
        <f t="shared" si="101"/>
        <v>0</v>
      </c>
      <c r="K95" s="577">
        <f t="shared" si="95"/>
        <v>0</v>
      </c>
      <c r="L95" s="545"/>
      <c r="M95" s="553">
        <f t="shared" si="96"/>
        <v>0</v>
      </c>
      <c r="N95" s="577">
        <f t="shared" si="60"/>
        <v>0</v>
      </c>
      <c r="O95" s="545"/>
      <c r="P95" s="553">
        <f t="shared" si="96"/>
        <v>0</v>
      </c>
      <c r="Q95" s="577">
        <f t="shared" si="60"/>
        <v>0</v>
      </c>
      <c r="R95" s="545"/>
      <c r="S95" s="553">
        <f t="shared" si="96"/>
        <v>0</v>
      </c>
      <c r="T95" s="577">
        <f t="shared" si="60"/>
        <v>0</v>
      </c>
      <c r="U95" s="545"/>
      <c r="V95" s="553">
        <f t="shared" si="96"/>
        <v>0</v>
      </c>
      <c r="W95" s="577">
        <f t="shared" si="60"/>
        <v>0</v>
      </c>
      <c r="X95" s="545"/>
      <c r="Y95" s="553">
        <f t="shared" si="96"/>
        <v>0</v>
      </c>
      <c r="Z95" s="577">
        <f t="shared" si="60"/>
        <v>0</v>
      </c>
      <c r="AA95" s="545"/>
      <c r="AB95" s="78"/>
    </row>
    <row r="96" spans="1:28" ht="14.25" customHeight="1">
      <c r="E96" s="50"/>
      <c r="F96" s="50"/>
      <c r="G96" s="819"/>
      <c r="K96" s="820"/>
      <c r="L96" s="271"/>
      <c r="M96" s="820"/>
      <c r="N96" s="271"/>
      <c r="O96" s="820"/>
      <c r="P96" s="271"/>
      <c r="Q96" s="820"/>
      <c r="R96" s="271"/>
      <c r="S96" s="820"/>
      <c r="T96" s="271"/>
      <c r="U96" s="820"/>
      <c r="V96" s="271"/>
    </row>
    <row r="97" spans="5:22" ht="14.25" customHeight="1">
      <c r="E97" s="50"/>
      <c r="F97" s="50"/>
      <c r="G97" s="819"/>
      <c r="K97" s="820"/>
      <c r="L97" s="271"/>
      <c r="M97" s="820"/>
      <c r="N97" s="271"/>
      <c r="O97" s="820"/>
      <c r="P97" s="271"/>
      <c r="Q97" s="820"/>
      <c r="R97" s="271"/>
      <c r="S97" s="820"/>
      <c r="T97" s="271"/>
      <c r="U97" s="820"/>
      <c r="V97" s="271"/>
    </row>
    <row r="98" spans="5:22" ht="14.25" customHeight="1">
      <c r="E98" s="50"/>
      <c r="F98" s="50"/>
      <c r="G98" s="819"/>
      <c r="K98" s="820"/>
      <c r="L98" s="271"/>
      <c r="M98" s="820"/>
      <c r="N98" s="271"/>
      <c r="O98" s="820"/>
      <c r="P98" s="271"/>
      <c r="Q98" s="820"/>
      <c r="R98" s="271"/>
      <c r="S98" s="820"/>
      <c r="T98" s="271"/>
      <c r="U98" s="820"/>
      <c r="V98" s="271"/>
    </row>
    <row r="99" spans="5:22" ht="14.25" customHeight="1">
      <c r="E99" s="50"/>
      <c r="F99" s="50"/>
      <c r="G99" s="819"/>
      <c r="K99" s="820"/>
      <c r="L99" s="271"/>
      <c r="M99" s="820"/>
      <c r="N99" s="271"/>
      <c r="O99" s="820"/>
      <c r="P99" s="271"/>
      <c r="Q99" s="820"/>
      <c r="R99" s="271"/>
      <c r="S99" s="820"/>
      <c r="T99" s="271"/>
      <c r="U99" s="820"/>
      <c r="V99" s="271"/>
    </row>
    <row r="100" spans="5:22" ht="14.25" customHeight="1">
      <c r="E100" s="50"/>
      <c r="F100" s="50"/>
      <c r="G100" s="819"/>
      <c r="K100" s="820"/>
      <c r="L100" s="271"/>
      <c r="M100" s="820"/>
      <c r="N100" s="271"/>
      <c r="O100" s="820"/>
      <c r="P100" s="271"/>
      <c r="Q100" s="820"/>
      <c r="R100" s="271"/>
      <c r="S100" s="820"/>
      <c r="T100" s="271"/>
      <c r="U100" s="820"/>
      <c r="V100" s="271"/>
    </row>
    <row r="101" spans="5:22" ht="14.25" customHeight="1">
      <c r="E101" s="50"/>
      <c r="F101" s="50"/>
      <c r="G101" s="819"/>
      <c r="K101" s="820"/>
      <c r="L101" s="271"/>
      <c r="M101" s="820"/>
      <c r="N101" s="271"/>
      <c r="O101" s="820"/>
      <c r="P101" s="271"/>
      <c r="Q101" s="820"/>
      <c r="R101" s="271"/>
      <c r="S101" s="820"/>
      <c r="T101" s="271"/>
      <c r="U101" s="820"/>
      <c r="V101" s="271"/>
    </row>
    <row r="102" spans="5:22" ht="14.25" customHeight="1">
      <c r="E102" s="50"/>
      <c r="F102" s="50"/>
      <c r="G102" s="819"/>
      <c r="K102" s="820"/>
      <c r="L102" s="271"/>
      <c r="M102" s="820"/>
      <c r="N102" s="271"/>
      <c r="O102" s="820"/>
      <c r="P102" s="271"/>
      <c r="Q102" s="820"/>
      <c r="R102" s="271"/>
      <c r="S102" s="820"/>
      <c r="T102" s="271"/>
      <c r="U102" s="820"/>
      <c r="V102" s="271"/>
    </row>
    <row r="103" spans="5:22" ht="14.25" customHeight="1">
      <c r="E103" s="50"/>
      <c r="F103" s="50"/>
      <c r="G103" s="819"/>
      <c r="K103" s="820"/>
      <c r="L103" s="271"/>
      <c r="M103" s="820"/>
      <c r="N103" s="271"/>
      <c r="O103" s="820"/>
      <c r="P103" s="271"/>
      <c r="Q103" s="820"/>
      <c r="R103" s="271"/>
      <c r="S103" s="820"/>
      <c r="T103" s="271"/>
      <c r="U103" s="820"/>
      <c r="V103" s="271"/>
    </row>
    <row r="104" spans="5:22" ht="14.25" customHeight="1">
      <c r="E104" s="50"/>
      <c r="F104" s="50"/>
      <c r="G104" s="819"/>
      <c r="K104" s="820"/>
      <c r="L104" s="271"/>
      <c r="M104" s="820"/>
      <c r="N104" s="271"/>
      <c r="O104" s="820"/>
      <c r="P104" s="271"/>
      <c r="Q104" s="820"/>
      <c r="R104" s="271"/>
      <c r="S104" s="820"/>
      <c r="T104" s="271"/>
      <c r="U104" s="820"/>
      <c r="V104" s="271"/>
    </row>
    <row r="105" spans="5:22" ht="14.25" customHeight="1">
      <c r="E105" s="50"/>
      <c r="F105" s="50"/>
      <c r="G105" s="819"/>
      <c r="K105" s="820"/>
      <c r="L105" s="271"/>
      <c r="M105" s="820"/>
      <c r="N105" s="271"/>
      <c r="O105" s="820"/>
      <c r="P105" s="271"/>
      <c r="Q105" s="820"/>
      <c r="R105" s="271"/>
      <c r="S105" s="820"/>
      <c r="T105" s="271"/>
      <c r="U105" s="820"/>
      <c r="V105" s="271"/>
    </row>
    <row r="106" spans="5:22" ht="14.25" customHeight="1">
      <c r="E106" s="50"/>
      <c r="F106" s="50"/>
      <c r="G106" s="819"/>
      <c r="K106" s="820"/>
      <c r="L106" s="271"/>
      <c r="M106" s="820"/>
      <c r="N106" s="271"/>
      <c r="O106" s="820"/>
      <c r="P106" s="271"/>
      <c r="Q106" s="820"/>
      <c r="R106" s="271"/>
      <c r="S106" s="820"/>
      <c r="T106" s="271"/>
      <c r="U106" s="820"/>
      <c r="V106" s="271"/>
    </row>
    <row r="107" spans="5:22" ht="14.25" customHeight="1">
      <c r="E107" s="50"/>
      <c r="F107" s="50"/>
      <c r="G107" s="819"/>
      <c r="K107" s="820"/>
      <c r="L107" s="271"/>
      <c r="M107" s="820"/>
      <c r="N107" s="271"/>
      <c r="O107" s="820"/>
      <c r="P107" s="271"/>
      <c r="Q107" s="820"/>
      <c r="R107" s="271"/>
      <c r="S107" s="820"/>
      <c r="T107" s="271"/>
      <c r="U107" s="820"/>
      <c r="V107" s="271"/>
    </row>
    <row r="108" spans="5:22" ht="14.25" customHeight="1">
      <c r="E108" s="50"/>
      <c r="F108" s="50"/>
      <c r="G108" s="819"/>
      <c r="K108" s="820"/>
      <c r="L108" s="271"/>
      <c r="M108" s="820"/>
      <c r="N108" s="271"/>
      <c r="O108" s="820"/>
      <c r="P108" s="271"/>
      <c r="Q108" s="820"/>
      <c r="R108" s="271"/>
      <c r="S108" s="820"/>
      <c r="T108" s="271"/>
      <c r="U108" s="820"/>
      <c r="V108" s="271"/>
    </row>
    <row r="109" spans="5:22" ht="14.25" customHeight="1">
      <c r="E109" s="50"/>
      <c r="F109" s="50"/>
      <c r="G109" s="819"/>
      <c r="K109" s="820"/>
      <c r="L109" s="271"/>
      <c r="M109" s="820"/>
      <c r="N109" s="271"/>
      <c r="O109" s="820"/>
      <c r="P109" s="271"/>
      <c r="Q109" s="820"/>
      <c r="R109" s="271"/>
      <c r="S109" s="820"/>
      <c r="T109" s="271"/>
      <c r="U109" s="820"/>
      <c r="V109" s="271"/>
    </row>
    <row r="110" spans="5:22" ht="14.25" customHeight="1">
      <c r="E110" s="50"/>
      <c r="F110" s="50"/>
      <c r="G110" s="819"/>
      <c r="K110" s="820"/>
      <c r="L110" s="271"/>
      <c r="M110" s="820"/>
      <c r="N110" s="271"/>
      <c r="O110" s="820"/>
      <c r="P110" s="271"/>
      <c r="Q110" s="820"/>
      <c r="R110" s="271"/>
      <c r="S110" s="820"/>
      <c r="T110" s="271"/>
      <c r="U110" s="820"/>
      <c r="V110" s="271"/>
    </row>
    <row r="111" spans="5:22" ht="14.25" customHeight="1">
      <c r="E111" s="50"/>
      <c r="F111" s="50"/>
      <c r="G111" s="819"/>
      <c r="K111" s="820"/>
      <c r="L111" s="271"/>
      <c r="M111" s="820"/>
      <c r="N111" s="271"/>
      <c r="O111" s="820"/>
      <c r="P111" s="271"/>
      <c r="Q111" s="820"/>
      <c r="R111" s="271"/>
      <c r="S111" s="820"/>
      <c r="T111" s="271"/>
      <c r="U111" s="820"/>
      <c r="V111" s="271"/>
    </row>
    <row r="112" spans="5:22" ht="14.25" customHeight="1">
      <c r="E112" s="50"/>
      <c r="F112" s="50"/>
      <c r="G112" s="819"/>
      <c r="K112" s="820"/>
      <c r="L112" s="271"/>
      <c r="M112" s="820"/>
      <c r="N112" s="271"/>
      <c r="O112" s="820"/>
      <c r="P112" s="271"/>
      <c r="Q112" s="820"/>
      <c r="R112" s="271"/>
      <c r="S112" s="820"/>
      <c r="T112" s="271"/>
      <c r="U112" s="820"/>
      <c r="V112" s="271"/>
    </row>
    <row r="113" spans="5:22" ht="14.25" customHeight="1">
      <c r="E113" s="50"/>
      <c r="F113" s="50"/>
      <c r="G113" s="819"/>
      <c r="K113" s="820"/>
      <c r="L113" s="271"/>
      <c r="M113" s="820"/>
      <c r="N113" s="271"/>
      <c r="O113" s="820"/>
      <c r="P113" s="271"/>
      <c r="Q113" s="820"/>
      <c r="R113" s="271"/>
      <c r="S113" s="820"/>
      <c r="T113" s="271"/>
      <c r="U113" s="820"/>
      <c r="V113" s="271"/>
    </row>
    <row r="114" spans="5:22" ht="14.25" customHeight="1">
      <c r="E114" s="50"/>
      <c r="F114" s="50"/>
      <c r="G114" s="819"/>
      <c r="K114" s="820"/>
      <c r="L114" s="271"/>
      <c r="M114" s="820"/>
      <c r="N114" s="271"/>
      <c r="O114" s="820"/>
      <c r="P114" s="271"/>
      <c r="Q114" s="820"/>
      <c r="R114" s="271"/>
      <c r="S114" s="820"/>
      <c r="T114" s="271"/>
      <c r="U114" s="820"/>
      <c r="V114" s="271"/>
    </row>
    <row r="115" spans="5:22" ht="14.25" customHeight="1">
      <c r="E115" s="50"/>
      <c r="F115" s="50"/>
      <c r="G115" s="819"/>
      <c r="K115" s="820"/>
      <c r="L115" s="271"/>
      <c r="M115" s="820"/>
      <c r="N115" s="271"/>
      <c r="O115" s="820"/>
      <c r="P115" s="271"/>
      <c r="Q115" s="820"/>
      <c r="R115" s="271"/>
      <c r="S115" s="820"/>
      <c r="T115" s="271"/>
      <c r="U115" s="820"/>
      <c r="V115" s="271"/>
    </row>
    <row r="116" spans="5:22" ht="14.25" customHeight="1">
      <c r="E116" s="50"/>
      <c r="F116" s="50"/>
      <c r="G116" s="819"/>
      <c r="K116" s="820"/>
      <c r="L116" s="271"/>
      <c r="M116" s="820"/>
      <c r="N116" s="271"/>
      <c r="O116" s="820"/>
      <c r="P116" s="271"/>
      <c r="Q116" s="820"/>
      <c r="R116" s="271"/>
      <c r="S116" s="820"/>
      <c r="T116" s="271"/>
      <c r="U116" s="820"/>
      <c r="V116" s="271"/>
    </row>
    <row r="117" spans="5:22" ht="14.25" customHeight="1">
      <c r="E117" s="50"/>
      <c r="F117" s="50"/>
      <c r="G117" s="819"/>
      <c r="K117" s="820"/>
      <c r="L117" s="271"/>
      <c r="M117" s="820"/>
      <c r="N117" s="271"/>
      <c r="O117" s="820"/>
      <c r="P117" s="271"/>
      <c r="Q117" s="820"/>
      <c r="R117" s="271"/>
      <c r="S117" s="820"/>
      <c r="T117" s="271"/>
      <c r="U117" s="820"/>
      <c r="V117" s="271"/>
    </row>
    <row r="118" spans="5:22" ht="14.25" customHeight="1">
      <c r="E118" s="50"/>
      <c r="F118" s="50"/>
      <c r="G118" s="819"/>
      <c r="K118" s="820"/>
      <c r="L118" s="271"/>
      <c r="M118" s="820"/>
      <c r="N118" s="271"/>
      <c r="O118" s="820"/>
      <c r="P118" s="271"/>
      <c r="Q118" s="820"/>
      <c r="R118" s="271"/>
      <c r="S118" s="820"/>
      <c r="T118" s="271"/>
      <c r="U118" s="820"/>
      <c r="V118" s="271"/>
    </row>
    <row r="119" spans="5:22" ht="14.25" customHeight="1">
      <c r="E119" s="50"/>
      <c r="F119" s="50"/>
      <c r="G119" s="819"/>
      <c r="K119" s="820"/>
      <c r="L119" s="271"/>
      <c r="M119" s="820"/>
      <c r="N119" s="271"/>
      <c r="O119" s="820"/>
      <c r="P119" s="271"/>
      <c r="Q119" s="820"/>
      <c r="R119" s="271"/>
      <c r="S119" s="820"/>
      <c r="T119" s="271"/>
      <c r="U119" s="820"/>
      <c r="V119" s="271"/>
    </row>
    <row r="120" spans="5:22" ht="14.25" customHeight="1">
      <c r="E120" s="50"/>
      <c r="F120" s="50"/>
      <c r="G120" s="819"/>
      <c r="K120" s="820"/>
      <c r="L120" s="271"/>
      <c r="M120" s="820"/>
      <c r="N120" s="271"/>
      <c r="O120" s="820"/>
      <c r="P120" s="271"/>
      <c r="Q120" s="820"/>
      <c r="R120" s="271"/>
      <c r="S120" s="820"/>
      <c r="T120" s="271"/>
      <c r="U120" s="820"/>
      <c r="V120" s="271"/>
    </row>
    <row r="121" spans="5:22" ht="14.25" customHeight="1">
      <c r="E121" s="50"/>
      <c r="F121" s="50"/>
      <c r="G121" s="819"/>
      <c r="K121" s="820"/>
      <c r="L121" s="271"/>
      <c r="M121" s="820"/>
      <c r="N121" s="271"/>
      <c r="O121" s="820"/>
      <c r="P121" s="271"/>
      <c r="Q121" s="820"/>
      <c r="R121" s="271"/>
      <c r="S121" s="820"/>
      <c r="T121" s="271"/>
      <c r="U121" s="820"/>
      <c r="V121" s="271"/>
    </row>
    <row r="122" spans="5:22" ht="14.25" customHeight="1">
      <c r="E122" s="50"/>
      <c r="F122" s="50"/>
      <c r="G122" s="819"/>
      <c r="K122" s="820"/>
      <c r="L122" s="271"/>
      <c r="M122" s="820"/>
      <c r="N122" s="271"/>
      <c r="O122" s="820"/>
      <c r="P122" s="271"/>
      <c r="Q122" s="820"/>
      <c r="R122" s="271"/>
      <c r="S122" s="820"/>
      <c r="T122" s="271"/>
      <c r="U122" s="820"/>
      <c r="V122" s="271"/>
    </row>
    <row r="123" spans="5:22" ht="14.25" customHeight="1">
      <c r="E123" s="50"/>
      <c r="F123" s="50"/>
      <c r="G123" s="819"/>
      <c r="K123" s="820"/>
      <c r="L123" s="271"/>
      <c r="M123" s="820"/>
      <c r="N123" s="271"/>
      <c r="O123" s="820"/>
      <c r="P123" s="271"/>
      <c r="Q123" s="820"/>
      <c r="R123" s="271"/>
      <c r="S123" s="820"/>
      <c r="T123" s="271"/>
      <c r="U123" s="820"/>
      <c r="V123" s="271"/>
    </row>
    <row r="124" spans="5:22" ht="14.25" customHeight="1">
      <c r="E124" s="50"/>
      <c r="F124" s="50"/>
      <c r="G124" s="819"/>
      <c r="K124" s="820"/>
      <c r="L124" s="271"/>
      <c r="M124" s="820"/>
      <c r="N124" s="271"/>
      <c r="O124" s="820"/>
      <c r="P124" s="271"/>
      <c r="Q124" s="820"/>
      <c r="R124" s="271"/>
      <c r="S124" s="820"/>
      <c r="T124" s="271"/>
      <c r="U124" s="820"/>
      <c r="V124" s="271"/>
    </row>
    <row r="125" spans="5:22" ht="14.25" customHeight="1">
      <c r="E125" s="50"/>
      <c r="F125" s="50"/>
      <c r="G125" s="819"/>
      <c r="K125" s="820"/>
      <c r="L125" s="271"/>
      <c r="M125" s="820"/>
      <c r="N125" s="271"/>
      <c r="O125" s="820"/>
      <c r="P125" s="271"/>
      <c r="Q125" s="820"/>
      <c r="R125" s="271"/>
      <c r="S125" s="820"/>
      <c r="T125" s="271"/>
      <c r="U125" s="820"/>
      <c r="V125" s="271"/>
    </row>
    <row r="126" spans="5:22" ht="14.25" customHeight="1">
      <c r="E126" s="50"/>
      <c r="F126" s="50"/>
      <c r="G126" s="819"/>
      <c r="K126" s="820"/>
      <c r="L126" s="271"/>
      <c r="M126" s="820"/>
      <c r="N126" s="271"/>
      <c r="O126" s="820"/>
      <c r="P126" s="271"/>
      <c r="Q126" s="820"/>
      <c r="R126" s="271"/>
      <c r="S126" s="820"/>
      <c r="T126" s="271"/>
      <c r="U126" s="820"/>
      <c r="V126" s="271"/>
    </row>
    <row r="127" spans="5:22" ht="14.25" customHeight="1">
      <c r="E127" s="50"/>
      <c r="F127" s="50"/>
      <c r="G127" s="819"/>
      <c r="K127" s="820"/>
      <c r="L127" s="271"/>
      <c r="M127" s="820"/>
      <c r="N127" s="271"/>
      <c r="O127" s="820"/>
      <c r="P127" s="271"/>
      <c r="Q127" s="820"/>
      <c r="R127" s="271"/>
      <c r="S127" s="820"/>
      <c r="T127" s="271"/>
      <c r="U127" s="820"/>
      <c r="V127" s="271"/>
    </row>
    <row r="128" spans="5:22" ht="14.25" customHeight="1">
      <c r="E128" s="50"/>
      <c r="F128" s="50"/>
      <c r="G128" s="819"/>
      <c r="K128" s="820"/>
      <c r="L128" s="271"/>
      <c r="M128" s="820"/>
      <c r="N128" s="271"/>
      <c r="O128" s="820"/>
      <c r="P128" s="271"/>
      <c r="Q128" s="820"/>
      <c r="R128" s="271"/>
      <c r="S128" s="820"/>
      <c r="T128" s="271"/>
      <c r="U128" s="820"/>
      <c r="V128" s="271"/>
    </row>
    <row r="129" spans="5:22" ht="14.25" customHeight="1">
      <c r="E129" s="50"/>
      <c r="F129" s="50"/>
      <c r="G129" s="819"/>
      <c r="K129" s="820"/>
      <c r="L129" s="271"/>
      <c r="M129" s="820"/>
      <c r="N129" s="271"/>
      <c r="O129" s="820"/>
      <c r="P129" s="271"/>
      <c r="Q129" s="820"/>
      <c r="R129" s="271"/>
      <c r="S129" s="820"/>
      <c r="T129" s="271"/>
      <c r="U129" s="820"/>
      <c r="V129" s="271"/>
    </row>
    <row r="130" spans="5:22" ht="14.25" customHeight="1">
      <c r="E130" s="50"/>
      <c r="F130" s="50"/>
      <c r="G130" s="819"/>
      <c r="K130" s="820"/>
      <c r="L130" s="271"/>
      <c r="M130" s="820"/>
      <c r="N130" s="271"/>
      <c r="O130" s="820"/>
      <c r="P130" s="271"/>
      <c r="Q130" s="820"/>
      <c r="R130" s="271"/>
      <c r="S130" s="820"/>
      <c r="T130" s="271"/>
      <c r="U130" s="820"/>
      <c r="V130" s="271"/>
    </row>
    <row r="131" spans="5:22" ht="14.25" customHeight="1">
      <c r="E131" s="50"/>
      <c r="F131" s="50"/>
      <c r="G131" s="819"/>
      <c r="K131" s="820"/>
      <c r="L131" s="271"/>
      <c r="M131" s="820"/>
      <c r="N131" s="271"/>
      <c r="O131" s="820"/>
      <c r="P131" s="271"/>
      <c r="Q131" s="820"/>
      <c r="R131" s="271"/>
      <c r="S131" s="820"/>
      <c r="T131" s="271"/>
      <c r="U131" s="820"/>
      <c r="V131" s="271"/>
    </row>
    <row r="132" spans="5:22" ht="14.25" customHeight="1">
      <c r="E132" s="50"/>
      <c r="F132" s="50"/>
      <c r="G132" s="819"/>
      <c r="K132" s="820"/>
      <c r="L132" s="271"/>
      <c r="M132" s="820"/>
      <c r="N132" s="271"/>
      <c r="O132" s="820"/>
      <c r="P132" s="271"/>
      <c r="Q132" s="820"/>
      <c r="R132" s="271"/>
      <c r="S132" s="820"/>
      <c r="T132" s="271"/>
      <c r="U132" s="820"/>
      <c r="V132" s="271"/>
    </row>
    <row r="133" spans="5:22" ht="14.25" customHeight="1">
      <c r="E133" s="50"/>
      <c r="F133" s="50"/>
      <c r="G133" s="819"/>
      <c r="K133" s="820"/>
      <c r="L133" s="271"/>
      <c r="M133" s="820"/>
      <c r="N133" s="271"/>
      <c r="O133" s="820"/>
      <c r="P133" s="271"/>
      <c r="Q133" s="820"/>
      <c r="R133" s="271"/>
      <c r="S133" s="820"/>
      <c r="T133" s="271"/>
      <c r="U133" s="820"/>
      <c r="V133" s="271"/>
    </row>
    <row r="134" spans="5:22" ht="14.25" customHeight="1">
      <c r="E134" s="50"/>
      <c r="F134" s="50"/>
      <c r="G134" s="819"/>
      <c r="K134" s="820"/>
      <c r="L134" s="271"/>
      <c r="M134" s="820"/>
      <c r="N134" s="271"/>
      <c r="O134" s="820"/>
      <c r="P134" s="271"/>
      <c r="Q134" s="820"/>
      <c r="R134" s="271"/>
      <c r="S134" s="820"/>
      <c r="T134" s="271"/>
      <c r="U134" s="820"/>
      <c r="V134" s="271"/>
    </row>
    <row r="135" spans="5:22" ht="14.25" customHeight="1">
      <c r="E135" s="50"/>
      <c r="F135" s="50"/>
      <c r="G135" s="819"/>
      <c r="K135" s="820"/>
      <c r="L135" s="271"/>
      <c r="M135" s="820"/>
      <c r="N135" s="271"/>
      <c r="O135" s="820"/>
      <c r="P135" s="271"/>
      <c r="Q135" s="820"/>
      <c r="R135" s="271"/>
      <c r="S135" s="820"/>
      <c r="T135" s="271"/>
      <c r="U135" s="820"/>
      <c r="V135" s="271"/>
    </row>
    <row r="136" spans="5:22" ht="14.25" customHeight="1">
      <c r="E136" s="50"/>
      <c r="F136" s="50"/>
      <c r="G136" s="819"/>
      <c r="K136" s="820"/>
      <c r="L136" s="271"/>
      <c r="M136" s="820"/>
      <c r="N136" s="271"/>
      <c r="O136" s="820"/>
      <c r="P136" s="271"/>
      <c r="Q136" s="820"/>
      <c r="R136" s="271"/>
      <c r="S136" s="820"/>
      <c r="T136" s="271"/>
      <c r="U136" s="820"/>
      <c r="V136" s="271"/>
    </row>
    <row r="137" spans="5:22" ht="14.25" customHeight="1">
      <c r="E137" s="50"/>
      <c r="F137" s="50"/>
      <c r="G137" s="819"/>
      <c r="K137" s="820"/>
      <c r="L137" s="271"/>
      <c r="M137" s="820"/>
      <c r="N137" s="271"/>
      <c r="O137" s="820"/>
      <c r="P137" s="271"/>
      <c r="Q137" s="820"/>
      <c r="R137" s="271"/>
      <c r="S137" s="820"/>
      <c r="T137" s="271"/>
      <c r="U137" s="820"/>
      <c r="V137" s="271"/>
    </row>
    <row r="138" spans="5:22" ht="14.25" customHeight="1">
      <c r="E138" s="50"/>
      <c r="F138" s="50"/>
      <c r="G138" s="819"/>
      <c r="K138" s="820"/>
      <c r="L138" s="271"/>
      <c r="M138" s="820"/>
      <c r="N138" s="271"/>
      <c r="O138" s="820"/>
      <c r="P138" s="271"/>
      <c r="Q138" s="820"/>
      <c r="R138" s="271"/>
      <c r="S138" s="820"/>
      <c r="T138" s="271"/>
      <c r="U138" s="820"/>
      <c r="V138" s="271"/>
    </row>
    <row r="139" spans="5:22" ht="14.25" customHeight="1">
      <c r="E139" s="50"/>
      <c r="F139" s="50"/>
      <c r="G139" s="819"/>
      <c r="K139" s="820"/>
      <c r="L139" s="271"/>
      <c r="M139" s="820"/>
      <c r="N139" s="271"/>
      <c r="O139" s="820"/>
      <c r="P139" s="271"/>
      <c r="Q139" s="820"/>
      <c r="R139" s="271"/>
      <c r="S139" s="820"/>
      <c r="T139" s="271"/>
      <c r="U139" s="820"/>
      <c r="V139" s="271"/>
    </row>
    <row r="140" spans="5:22" ht="14.25" customHeight="1">
      <c r="E140" s="50"/>
      <c r="F140" s="50"/>
      <c r="G140" s="819"/>
      <c r="K140" s="820"/>
      <c r="L140" s="271"/>
      <c r="M140" s="820"/>
      <c r="N140" s="271"/>
      <c r="O140" s="820"/>
      <c r="P140" s="271"/>
      <c r="Q140" s="820"/>
      <c r="R140" s="271"/>
      <c r="S140" s="820"/>
      <c r="T140" s="271"/>
      <c r="U140" s="820"/>
      <c r="V140" s="271"/>
    </row>
    <row r="141" spans="5:22" ht="14.25" customHeight="1">
      <c r="E141" s="50"/>
      <c r="F141" s="50"/>
      <c r="G141" s="819"/>
      <c r="K141" s="820"/>
      <c r="L141" s="271"/>
      <c r="M141" s="820"/>
      <c r="N141" s="271"/>
      <c r="O141" s="820"/>
      <c r="P141" s="271"/>
      <c r="Q141" s="820"/>
      <c r="R141" s="271"/>
      <c r="S141" s="820"/>
      <c r="T141" s="271"/>
      <c r="U141" s="820"/>
      <c r="V141" s="271"/>
    </row>
    <row r="142" spans="5:22" ht="14.25" customHeight="1">
      <c r="E142" s="50"/>
      <c r="F142" s="50"/>
      <c r="G142" s="819"/>
      <c r="K142" s="820"/>
      <c r="L142" s="271"/>
      <c r="M142" s="820"/>
      <c r="N142" s="271"/>
      <c r="O142" s="820"/>
      <c r="P142" s="271"/>
      <c r="Q142" s="820"/>
      <c r="R142" s="271"/>
      <c r="S142" s="820"/>
      <c r="T142" s="271"/>
      <c r="U142" s="820"/>
      <c r="V142" s="271"/>
    </row>
    <row r="143" spans="5:22" ht="14.25" customHeight="1">
      <c r="E143" s="50"/>
      <c r="F143" s="50"/>
      <c r="G143" s="819"/>
      <c r="K143" s="820"/>
      <c r="L143" s="271"/>
      <c r="M143" s="820"/>
      <c r="N143" s="271"/>
      <c r="O143" s="820"/>
      <c r="P143" s="271"/>
      <c r="Q143" s="820"/>
      <c r="R143" s="271"/>
      <c r="S143" s="820"/>
      <c r="T143" s="271"/>
      <c r="U143" s="820"/>
      <c r="V143" s="271"/>
    </row>
    <row r="144" spans="5:22" ht="14.25" customHeight="1">
      <c r="E144" s="50"/>
      <c r="F144" s="50"/>
      <c r="G144" s="819"/>
      <c r="K144" s="820"/>
      <c r="L144" s="271"/>
      <c r="M144" s="820"/>
      <c r="N144" s="271"/>
      <c r="O144" s="820"/>
      <c r="P144" s="271"/>
      <c r="Q144" s="820"/>
      <c r="R144" s="271"/>
      <c r="S144" s="820"/>
      <c r="T144" s="271"/>
      <c r="U144" s="820"/>
      <c r="V144" s="271"/>
    </row>
    <row r="145" spans="5:22" ht="14.25" customHeight="1">
      <c r="E145" s="50"/>
      <c r="F145" s="50"/>
      <c r="G145" s="819"/>
      <c r="K145" s="820"/>
      <c r="L145" s="271"/>
      <c r="M145" s="820"/>
      <c r="N145" s="271"/>
      <c r="O145" s="820"/>
      <c r="P145" s="271"/>
      <c r="Q145" s="820"/>
      <c r="R145" s="271"/>
      <c r="S145" s="820"/>
      <c r="T145" s="271"/>
      <c r="U145" s="820"/>
      <c r="V145" s="271"/>
    </row>
    <row r="146" spans="5:22" ht="14.25" customHeight="1">
      <c r="E146" s="50"/>
      <c r="F146" s="50"/>
      <c r="G146" s="819"/>
      <c r="K146" s="820"/>
      <c r="L146" s="271"/>
      <c r="M146" s="820"/>
      <c r="N146" s="271"/>
      <c r="O146" s="820"/>
      <c r="P146" s="271"/>
      <c r="Q146" s="820"/>
      <c r="R146" s="271"/>
      <c r="S146" s="820"/>
      <c r="T146" s="271"/>
      <c r="U146" s="820"/>
      <c r="V146" s="271"/>
    </row>
    <row r="147" spans="5:22" ht="14.25" customHeight="1">
      <c r="E147" s="50"/>
      <c r="F147" s="50"/>
      <c r="G147" s="819"/>
      <c r="K147" s="820"/>
      <c r="L147" s="271"/>
      <c r="M147" s="820"/>
      <c r="N147" s="271"/>
      <c r="O147" s="820"/>
      <c r="P147" s="271"/>
      <c r="Q147" s="820"/>
      <c r="R147" s="271"/>
      <c r="S147" s="820"/>
      <c r="T147" s="271"/>
      <c r="U147" s="820"/>
      <c r="V147" s="271"/>
    </row>
    <row r="148" spans="5:22" ht="14.25" customHeight="1">
      <c r="E148" s="50"/>
      <c r="F148" s="50"/>
      <c r="G148" s="819"/>
      <c r="K148" s="820"/>
      <c r="L148" s="271"/>
      <c r="M148" s="820"/>
      <c r="N148" s="271"/>
      <c r="O148" s="820"/>
      <c r="P148" s="271"/>
      <c r="Q148" s="820"/>
      <c r="R148" s="271"/>
      <c r="S148" s="820"/>
      <c r="T148" s="271"/>
      <c r="U148" s="820"/>
      <c r="V148" s="271"/>
    </row>
    <row r="149" spans="5:22" ht="14.25" customHeight="1">
      <c r="E149" s="50"/>
      <c r="F149" s="50"/>
      <c r="G149" s="819"/>
      <c r="K149" s="820"/>
      <c r="L149" s="271"/>
      <c r="M149" s="820"/>
      <c r="N149" s="271"/>
      <c r="O149" s="820"/>
      <c r="P149" s="271"/>
      <c r="Q149" s="820"/>
      <c r="R149" s="271"/>
      <c r="S149" s="820"/>
      <c r="T149" s="271"/>
      <c r="U149" s="820"/>
      <c r="V149" s="271"/>
    </row>
  </sheetData>
  <sheetProtection algorithmName="SHA-512" hashValue="dJYAyQpZAs28A9KWzvUHCJ7wAdY9E39Jkz0DMyfLuv09lbVaAie7qgnz/pAM3wlZAS5hAGJ02ajzxUv2hjW4VQ==" saltValue="m7vdu8CzRpLwsfwaYjZ9Pw==" spinCount="100000" sheet="1" objects="1" scenarios="1"/>
  <mergeCells count="356">
    <mergeCell ref="A1:C1"/>
    <mergeCell ref="F62:G62"/>
    <mergeCell ref="J59:L59"/>
    <mergeCell ref="M59:O59"/>
    <mergeCell ref="P59:R59"/>
    <mergeCell ref="S59:U59"/>
    <mergeCell ref="V59:X59"/>
    <mergeCell ref="Y59:AA59"/>
    <mergeCell ref="J58:L58"/>
    <mergeCell ref="M58:O58"/>
    <mergeCell ref="P58:R58"/>
    <mergeCell ref="S58:U58"/>
    <mergeCell ref="V58:X58"/>
    <mergeCell ref="Y58:AA58"/>
    <mergeCell ref="J57:L57"/>
    <mergeCell ref="M57:O57"/>
    <mergeCell ref="P57:R57"/>
    <mergeCell ref="S57:U57"/>
    <mergeCell ref="V57:X57"/>
    <mergeCell ref="Y57:AA57"/>
    <mergeCell ref="J54:L54"/>
    <mergeCell ref="M54:O54"/>
    <mergeCell ref="P54:R54"/>
    <mergeCell ref="J56:L56"/>
    <mergeCell ref="M56:O56"/>
    <mergeCell ref="P56:R56"/>
    <mergeCell ref="S56:U56"/>
    <mergeCell ref="V56:X56"/>
    <mergeCell ref="Y56:AA56"/>
    <mergeCell ref="J53:L53"/>
    <mergeCell ref="M53:O53"/>
    <mergeCell ref="P53:R53"/>
    <mergeCell ref="S53:U53"/>
    <mergeCell ref="V53:X53"/>
    <mergeCell ref="Y53:AA53"/>
    <mergeCell ref="S54:U54"/>
    <mergeCell ref="V54:X54"/>
    <mergeCell ref="Y54:AA54"/>
    <mergeCell ref="J55:L55"/>
    <mergeCell ref="M55:O55"/>
    <mergeCell ref="P55:R55"/>
    <mergeCell ref="S55:U55"/>
    <mergeCell ref="V55:X55"/>
    <mergeCell ref="Y55:AA55"/>
    <mergeCell ref="J51:L51"/>
    <mergeCell ref="M51:O51"/>
    <mergeCell ref="P51:R51"/>
    <mergeCell ref="S51:U51"/>
    <mergeCell ref="V51:X51"/>
    <mergeCell ref="Y51:AA51"/>
    <mergeCell ref="J52:L52"/>
    <mergeCell ref="M52:O52"/>
    <mergeCell ref="P52:R52"/>
    <mergeCell ref="S52:U52"/>
    <mergeCell ref="V52:X52"/>
    <mergeCell ref="Y52:AA52"/>
    <mergeCell ref="J46:L46"/>
    <mergeCell ref="M46:O46"/>
    <mergeCell ref="P46:R46"/>
    <mergeCell ref="S46:U46"/>
    <mergeCell ref="V46:X46"/>
    <mergeCell ref="Y46:AA46"/>
    <mergeCell ref="J50:L50"/>
    <mergeCell ref="M50:O50"/>
    <mergeCell ref="P50:R50"/>
    <mergeCell ref="S50:U50"/>
    <mergeCell ref="V50:X50"/>
    <mergeCell ref="Y50:AA50"/>
    <mergeCell ref="J48:L48"/>
    <mergeCell ref="M48:O48"/>
    <mergeCell ref="P48:R48"/>
    <mergeCell ref="S48:U48"/>
    <mergeCell ref="V48:X48"/>
    <mergeCell ref="Y48:AA48"/>
    <mergeCell ref="J36:L36"/>
    <mergeCell ref="M36:O36"/>
    <mergeCell ref="P36:R36"/>
    <mergeCell ref="S36:U36"/>
    <mergeCell ref="V36:X36"/>
    <mergeCell ref="Y36:AA36"/>
    <mergeCell ref="J45:L45"/>
    <mergeCell ref="M45:O45"/>
    <mergeCell ref="P45:R45"/>
    <mergeCell ref="S45:U45"/>
    <mergeCell ref="V45:X45"/>
    <mergeCell ref="Y45:AA45"/>
    <mergeCell ref="J43:L43"/>
    <mergeCell ref="M43:O43"/>
    <mergeCell ref="P43:R43"/>
    <mergeCell ref="S43:U43"/>
    <mergeCell ref="V43:X43"/>
    <mergeCell ref="Y43:AA43"/>
    <mergeCell ref="J44:L44"/>
    <mergeCell ref="M44:O44"/>
    <mergeCell ref="P44:R44"/>
    <mergeCell ref="S44:U44"/>
    <mergeCell ref="V44:X44"/>
    <mergeCell ref="Y44:AA44"/>
    <mergeCell ref="J34:L34"/>
    <mergeCell ref="M34:O34"/>
    <mergeCell ref="P34:R34"/>
    <mergeCell ref="S34:U34"/>
    <mergeCell ref="V34:X34"/>
    <mergeCell ref="Y34:AA34"/>
    <mergeCell ref="J35:L35"/>
    <mergeCell ref="M35:O35"/>
    <mergeCell ref="P35:R35"/>
    <mergeCell ref="S35:U35"/>
    <mergeCell ref="V35:X35"/>
    <mergeCell ref="Y35:AA35"/>
    <mergeCell ref="J33:L33"/>
    <mergeCell ref="M33:O33"/>
    <mergeCell ref="P33:R33"/>
    <mergeCell ref="S33:U33"/>
    <mergeCell ref="V33:X33"/>
    <mergeCell ref="Y33:AA33"/>
    <mergeCell ref="J32:L32"/>
    <mergeCell ref="M32:O32"/>
    <mergeCell ref="P32:R32"/>
    <mergeCell ref="S32:U32"/>
    <mergeCell ref="V32:X32"/>
    <mergeCell ref="Y32:AA32"/>
    <mergeCell ref="J31:L31"/>
    <mergeCell ref="M31:O31"/>
    <mergeCell ref="P31:R31"/>
    <mergeCell ref="S31:U31"/>
    <mergeCell ref="V31:X31"/>
    <mergeCell ref="Y31:AA31"/>
    <mergeCell ref="J30:L30"/>
    <mergeCell ref="M30:O30"/>
    <mergeCell ref="P30:R30"/>
    <mergeCell ref="S30:U30"/>
    <mergeCell ref="V30:X30"/>
    <mergeCell ref="Y30:AA30"/>
    <mergeCell ref="J29:L29"/>
    <mergeCell ref="M29:O29"/>
    <mergeCell ref="P29:R29"/>
    <mergeCell ref="S29:U29"/>
    <mergeCell ref="V29:X29"/>
    <mergeCell ref="Y29:AA29"/>
    <mergeCell ref="J28:L28"/>
    <mergeCell ref="M28:O28"/>
    <mergeCell ref="P28:R28"/>
    <mergeCell ref="S28:U28"/>
    <mergeCell ref="V28:X28"/>
    <mergeCell ref="Y28:AA28"/>
    <mergeCell ref="J27:L27"/>
    <mergeCell ref="M27:O27"/>
    <mergeCell ref="P27:R27"/>
    <mergeCell ref="S27:U27"/>
    <mergeCell ref="V27:X27"/>
    <mergeCell ref="Y27:AA27"/>
    <mergeCell ref="J26:L26"/>
    <mergeCell ref="M26:O26"/>
    <mergeCell ref="P26:R26"/>
    <mergeCell ref="S26:U26"/>
    <mergeCell ref="V26:X26"/>
    <mergeCell ref="Y26:AA26"/>
    <mergeCell ref="J25:L25"/>
    <mergeCell ref="M25:O25"/>
    <mergeCell ref="P25:R25"/>
    <mergeCell ref="S25:U25"/>
    <mergeCell ref="V25:X25"/>
    <mergeCell ref="Y25:AA25"/>
    <mergeCell ref="J24:L24"/>
    <mergeCell ref="M24:O24"/>
    <mergeCell ref="P24:R24"/>
    <mergeCell ref="S24:U24"/>
    <mergeCell ref="V24:X24"/>
    <mergeCell ref="Y24:AA24"/>
    <mergeCell ref="J23:L23"/>
    <mergeCell ref="M23:O23"/>
    <mergeCell ref="P23:R23"/>
    <mergeCell ref="S23:U23"/>
    <mergeCell ref="V23:X23"/>
    <mergeCell ref="Y23:AA23"/>
    <mergeCell ref="J22:L22"/>
    <mergeCell ref="M22:O22"/>
    <mergeCell ref="P22:R22"/>
    <mergeCell ref="S22:U22"/>
    <mergeCell ref="V22:X22"/>
    <mergeCell ref="Y22:AA22"/>
    <mergeCell ref="J21:L21"/>
    <mergeCell ref="M21:O21"/>
    <mergeCell ref="P21:R21"/>
    <mergeCell ref="S21:U21"/>
    <mergeCell ref="V21:X21"/>
    <mergeCell ref="Y21:AA21"/>
    <mergeCell ref="J20:L20"/>
    <mergeCell ref="M20:O20"/>
    <mergeCell ref="P20:R20"/>
    <mergeCell ref="S20:U20"/>
    <mergeCell ref="V20:X20"/>
    <mergeCell ref="Y20:AA20"/>
    <mergeCell ref="J19:L19"/>
    <mergeCell ref="M19:O19"/>
    <mergeCell ref="P19:R19"/>
    <mergeCell ref="S19:U19"/>
    <mergeCell ref="V19:X19"/>
    <mergeCell ref="Y19:AA19"/>
    <mergeCell ref="J18:L18"/>
    <mergeCell ref="M18:O18"/>
    <mergeCell ref="P18:R18"/>
    <mergeCell ref="S18:U18"/>
    <mergeCell ref="V18:X18"/>
    <mergeCell ref="Y18:AA18"/>
    <mergeCell ref="J17:L17"/>
    <mergeCell ref="M17:O17"/>
    <mergeCell ref="P17:R17"/>
    <mergeCell ref="S17:U17"/>
    <mergeCell ref="V17:X17"/>
    <mergeCell ref="Y17:AA17"/>
    <mergeCell ref="J16:L16"/>
    <mergeCell ref="M16:O16"/>
    <mergeCell ref="P16:R16"/>
    <mergeCell ref="S16:U16"/>
    <mergeCell ref="V16:X16"/>
    <mergeCell ref="Y16:AA16"/>
    <mergeCell ref="J15:L15"/>
    <mergeCell ref="M15:O15"/>
    <mergeCell ref="P15:R15"/>
    <mergeCell ref="S15:U15"/>
    <mergeCell ref="V15:X15"/>
    <mergeCell ref="Y15:AA15"/>
    <mergeCell ref="J14:L14"/>
    <mergeCell ref="M14:O14"/>
    <mergeCell ref="P14:R14"/>
    <mergeCell ref="S14:U14"/>
    <mergeCell ref="V14:X14"/>
    <mergeCell ref="Y14:AA14"/>
    <mergeCell ref="J13:L13"/>
    <mergeCell ref="M13:O13"/>
    <mergeCell ref="P13:R13"/>
    <mergeCell ref="S13:U13"/>
    <mergeCell ref="V13:X13"/>
    <mergeCell ref="Y13:AA13"/>
    <mergeCell ref="J12:L12"/>
    <mergeCell ref="M12:O12"/>
    <mergeCell ref="P12:R12"/>
    <mergeCell ref="S12:U12"/>
    <mergeCell ref="V12:X12"/>
    <mergeCell ref="Y12:AA12"/>
    <mergeCell ref="J11:L11"/>
    <mergeCell ref="M11:O11"/>
    <mergeCell ref="P11:R11"/>
    <mergeCell ref="S11:U11"/>
    <mergeCell ref="V11:X11"/>
    <mergeCell ref="Y11:AA11"/>
    <mergeCell ref="J10:L10"/>
    <mergeCell ref="M10:O10"/>
    <mergeCell ref="P10:R10"/>
    <mergeCell ref="S10:U10"/>
    <mergeCell ref="V10:X10"/>
    <mergeCell ref="Y10:AA10"/>
    <mergeCell ref="J9:L9"/>
    <mergeCell ref="M9:O9"/>
    <mergeCell ref="P9:R9"/>
    <mergeCell ref="S9:U9"/>
    <mergeCell ref="V9:X9"/>
    <mergeCell ref="Y9:AA9"/>
    <mergeCell ref="J8:L8"/>
    <mergeCell ref="M8:O8"/>
    <mergeCell ref="P8:R8"/>
    <mergeCell ref="S8:U8"/>
    <mergeCell ref="V8:X8"/>
    <mergeCell ref="Y8:AA8"/>
    <mergeCell ref="J7:L7"/>
    <mergeCell ref="M7:O7"/>
    <mergeCell ref="P7:R7"/>
    <mergeCell ref="S7:U7"/>
    <mergeCell ref="V7:X7"/>
    <mergeCell ref="Y7:AA7"/>
    <mergeCell ref="J6:L6"/>
    <mergeCell ref="M6:O6"/>
    <mergeCell ref="P6:R6"/>
    <mergeCell ref="S6:U6"/>
    <mergeCell ref="V6:X6"/>
    <mergeCell ref="Y6:AA6"/>
    <mergeCell ref="J5:L5"/>
    <mergeCell ref="M5:O5"/>
    <mergeCell ref="P5:R5"/>
    <mergeCell ref="S5:U5"/>
    <mergeCell ref="V5:X5"/>
    <mergeCell ref="Y5:AA5"/>
    <mergeCell ref="J3:L3"/>
    <mergeCell ref="M3:O3"/>
    <mergeCell ref="P3:R3"/>
    <mergeCell ref="S3:U3"/>
    <mergeCell ref="V3:X3"/>
    <mergeCell ref="Y3:AA3"/>
    <mergeCell ref="J4:L4"/>
    <mergeCell ref="M4:O4"/>
    <mergeCell ref="P4:R4"/>
    <mergeCell ref="S4:U4"/>
    <mergeCell ref="V4:X4"/>
    <mergeCell ref="Y4:AA4"/>
    <mergeCell ref="J1:L1"/>
    <mergeCell ref="M1:O1"/>
    <mergeCell ref="P1:R1"/>
    <mergeCell ref="S1:U1"/>
    <mergeCell ref="V1:X1"/>
    <mergeCell ref="Y1:AA1"/>
    <mergeCell ref="J2:L2"/>
    <mergeCell ref="M2:O2"/>
    <mergeCell ref="P2:R2"/>
    <mergeCell ref="S2:U2"/>
    <mergeCell ref="V2:X2"/>
    <mergeCell ref="Y2:AA2"/>
    <mergeCell ref="J37:L37"/>
    <mergeCell ref="M37:O37"/>
    <mergeCell ref="P37:R37"/>
    <mergeCell ref="S37:U37"/>
    <mergeCell ref="V37:X37"/>
    <mergeCell ref="Y37:AA37"/>
    <mergeCell ref="J38:L38"/>
    <mergeCell ref="M38:O38"/>
    <mergeCell ref="P38:R38"/>
    <mergeCell ref="S38:U38"/>
    <mergeCell ref="V38:X38"/>
    <mergeCell ref="Y38:AA38"/>
    <mergeCell ref="J39:L39"/>
    <mergeCell ref="M39:O39"/>
    <mergeCell ref="P39:R39"/>
    <mergeCell ref="S39:U39"/>
    <mergeCell ref="V39:X39"/>
    <mergeCell ref="Y39:AA39"/>
    <mergeCell ref="J40:L40"/>
    <mergeCell ref="M40:O40"/>
    <mergeCell ref="P40:R40"/>
    <mergeCell ref="S40:U40"/>
    <mergeCell ref="V40:X40"/>
    <mergeCell ref="Y40:AA40"/>
    <mergeCell ref="J41:L41"/>
    <mergeCell ref="M41:O41"/>
    <mergeCell ref="P41:R41"/>
    <mergeCell ref="S41:U41"/>
    <mergeCell ref="V41:X41"/>
    <mergeCell ref="Y41:AA41"/>
    <mergeCell ref="J49:L49"/>
    <mergeCell ref="M49:O49"/>
    <mergeCell ref="P49:R49"/>
    <mergeCell ref="S49:U49"/>
    <mergeCell ref="V49:X49"/>
    <mergeCell ref="Y49:AA49"/>
    <mergeCell ref="J42:L42"/>
    <mergeCell ref="M42:O42"/>
    <mergeCell ref="P42:R42"/>
    <mergeCell ref="S42:U42"/>
    <mergeCell ref="V42:X42"/>
    <mergeCell ref="Y42:AA42"/>
    <mergeCell ref="J47:L47"/>
    <mergeCell ref="M47:O47"/>
    <mergeCell ref="P47:R47"/>
    <mergeCell ref="S47:U47"/>
    <mergeCell ref="V47:X47"/>
    <mergeCell ref="Y47:AA47"/>
  </mergeCells>
  <phoneticPr fontId="4" type="noConversion"/>
  <pageMargins left="0.7" right="0.7" top="0.78740157499999996" bottom="0.78740157499999996" header="0.3" footer="0.3"/>
  <pageSetup paperSize="9" orientation="portrait" horizontalDpi="30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B1586-9AC9-4540-8D2F-515F33A97928}">
  <sheetPr>
    <tabColor theme="9" tint="0.79998168889431442"/>
    <pageSetUpPr autoPageBreaks="0"/>
  </sheetPr>
  <dimension ref="A1:EZ88"/>
  <sheetViews>
    <sheetView workbookViewId="0">
      <selection sqref="A1:C1"/>
    </sheetView>
  </sheetViews>
  <sheetFormatPr baseColWidth="10" defaultColWidth="11.42578125" defaultRowHeight="14.25" customHeight="1"/>
  <cols>
    <col min="1" max="1" width="63.28515625" style="5" customWidth="1"/>
    <col min="2" max="2" width="15.42578125" style="5" customWidth="1"/>
    <col min="3" max="3" width="10" style="5" bestFit="1" customWidth="1"/>
    <col min="4" max="83" width="14.85546875" style="5" customWidth="1"/>
    <col min="84" max="16384" width="11.42578125" style="5"/>
  </cols>
  <sheetData>
    <row r="1" spans="1:83" s="57" customFormat="1" ht="14.25" customHeight="1">
      <c r="A1" s="1025" t="s">
        <v>540</v>
      </c>
      <c r="B1" s="1025"/>
      <c r="C1" s="1025"/>
    </row>
    <row r="2" spans="1:83" s="57" customFormat="1" ht="14.25" customHeight="1"/>
    <row r="3" spans="1:83" s="57" customFormat="1" ht="14.25" customHeight="1">
      <c r="A3" s="642" t="s">
        <v>541</v>
      </c>
      <c r="B3" s="643" t="s">
        <v>542</v>
      </c>
      <c r="C3" s="644" t="s">
        <v>520</v>
      </c>
      <c r="D3" s="1191" t="s">
        <v>543</v>
      </c>
      <c r="E3" s="1191"/>
      <c r="F3" s="1191"/>
      <c r="G3" s="1191"/>
      <c r="H3" s="1191"/>
      <c r="I3" s="1191"/>
      <c r="J3" s="1191"/>
      <c r="K3" s="1191"/>
      <c r="L3" s="1191"/>
      <c r="M3" s="1191"/>
      <c r="N3" s="1191" t="s">
        <v>544</v>
      </c>
      <c r="O3" s="1191"/>
      <c r="P3" s="1191"/>
      <c r="Q3" s="1191"/>
      <c r="R3" s="1191"/>
      <c r="S3" s="1191"/>
      <c r="T3" s="1191"/>
      <c r="U3" s="1191"/>
      <c r="V3" s="1191"/>
      <c r="W3" s="1191"/>
      <c r="X3" s="1191" t="s">
        <v>545</v>
      </c>
      <c r="Y3" s="1191"/>
      <c r="Z3" s="1191"/>
      <c r="AA3" s="1191"/>
      <c r="AB3" s="1191"/>
      <c r="AC3" s="1191"/>
      <c r="AD3" s="1191"/>
      <c r="AE3" s="1191"/>
      <c r="AF3" s="1191"/>
      <c r="AG3" s="1191"/>
      <c r="AH3" s="1191" t="s">
        <v>546</v>
      </c>
      <c r="AI3" s="1191"/>
      <c r="AJ3" s="1191"/>
      <c r="AK3" s="1191"/>
      <c r="AL3" s="1191"/>
      <c r="AM3" s="1191"/>
      <c r="AN3" s="1191"/>
      <c r="AO3" s="1191"/>
      <c r="AP3" s="1191"/>
      <c r="AQ3" s="1191"/>
      <c r="AR3" s="1191" t="s">
        <v>547</v>
      </c>
      <c r="AS3" s="1191"/>
      <c r="AT3" s="1191"/>
      <c r="AU3" s="1191"/>
      <c r="AV3" s="1191"/>
      <c r="AW3" s="1191"/>
      <c r="AX3" s="1191"/>
      <c r="AY3" s="1191"/>
      <c r="AZ3" s="1191"/>
      <c r="BA3" s="1191"/>
      <c r="BB3" s="1191" t="s">
        <v>548</v>
      </c>
      <c r="BC3" s="1191"/>
      <c r="BD3" s="1191"/>
      <c r="BE3" s="1191"/>
      <c r="BF3" s="1191"/>
      <c r="BG3" s="1191"/>
      <c r="BH3" s="1191"/>
      <c r="BI3" s="1191"/>
      <c r="BJ3" s="1191"/>
      <c r="BK3" s="1191"/>
      <c r="BL3" s="1191" t="s">
        <v>549</v>
      </c>
      <c r="BM3" s="1191"/>
      <c r="BN3" s="1191"/>
      <c r="BO3" s="1191"/>
      <c r="BP3" s="1191"/>
      <c r="BQ3" s="1191"/>
      <c r="BR3" s="1191"/>
      <c r="BS3" s="1191"/>
      <c r="BT3" s="1191"/>
      <c r="BU3" s="1191"/>
      <c r="BV3" s="1191" t="s">
        <v>550</v>
      </c>
      <c r="BW3" s="1191"/>
      <c r="BX3" s="1191"/>
      <c r="BY3" s="1191"/>
      <c r="BZ3" s="1191"/>
      <c r="CA3" s="1191"/>
      <c r="CB3" s="1191"/>
      <c r="CC3" s="1191"/>
      <c r="CD3" s="1191"/>
      <c r="CE3" s="1191"/>
    </row>
    <row r="4" spans="1:83" s="57" customFormat="1" ht="8.25" customHeight="1">
      <c r="D4" s="638"/>
      <c r="M4" s="639"/>
      <c r="N4" s="638"/>
      <c r="W4" s="639"/>
      <c r="X4" s="638"/>
      <c r="AG4" s="639"/>
      <c r="AH4" s="638"/>
      <c r="AQ4" s="639"/>
      <c r="AR4" s="638"/>
      <c r="BA4" s="639"/>
      <c r="BB4" s="638"/>
      <c r="BK4" s="639"/>
      <c r="BL4" s="638"/>
      <c r="BU4" s="639"/>
      <c r="BV4" s="638"/>
      <c r="CE4" s="639"/>
    </row>
    <row r="5" spans="1:83" s="57" customFormat="1" ht="14.25" customHeight="1">
      <c r="A5" s="696" t="s">
        <v>119</v>
      </c>
      <c r="B5" s="697"/>
      <c r="C5" s="698" t="s">
        <v>5</v>
      </c>
      <c r="D5" s="699" t="str">
        <f>IF(AND(Betriebsdaten!E3&lt;&gt;"",Betriebsdaten!$F$10&lt;&gt;""),Betriebsdaten!E3,"")</f>
        <v/>
      </c>
      <c r="E5" s="700" t="str">
        <f>IF(AND(Betriebsdaten!F3&lt;&gt;"",Betriebsdaten!$F$10&lt;&gt;""),Betriebsdaten!F3,"")</f>
        <v/>
      </c>
      <c r="F5" s="700" t="str">
        <f>IF(AND(Betriebsdaten!G3&lt;&gt;"",Betriebsdaten!$F$10&lt;&gt;""),Betriebsdaten!G3,"")</f>
        <v/>
      </c>
      <c r="G5" s="700" t="str">
        <f>IF(AND(Betriebsdaten!H3&lt;&gt;"",Betriebsdaten!$F$10&lt;&gt;""),Betriebsdaten!H3,"")</f>
        <v/>
      </c>
      <c r="H5" s="700" t="str">
        <f>IF(AND(Betriebsdaten!I3&lt;&gt;"",Betriebsdaten!$F$10&lt;&gt;""),Betriebsdaten!I3,"")</f>
        <v/>
      </c>
      <c r="I5" s="700" t="str">
        <f>IF(AND(Betriebsdaten!J3&lt;&gt;"",Betriebsdaten!$F$10&lt;&gt;""),Betriebsdaten!J3,"")</f>
        <v/>
      </c>
      <c r="J5" s="700" t="str">
        <f>IF(AND(Betriebsdaten!K3&lt;&gt;"",Betriebsdaten!$F$10&lt;&gt;""),Betriebsdaten!K3,"")</f>
        <v/>
      </c>
      <c r="K5" s="700" t="str">
        <f>IF(AND(Betriebsdaten!L3&lt;&gt;"",Betriebsdaten!$F$10&lt;&gt;""),Betriebsdaten!L3,"")</f>
        <v/>
      </c>
      <c r="L5" s="700" t="str">
        <f>IF(AND(Betriebsdaten!M3&lt;&gt;"",Betriebsdaten!$F$10&lt;&gt;""),Betriebsdaten!M3,"")</f>
        <v/>
      </c>
      <c r="M5" s="701" t="str">
        <f>IF(AND(Betriebsdaten!N3&lt;&gt;"",Betriebsdaten!$F$10&lt;&gt;""),Betriebsdaten!N3,"")</f>
        <v/>
      </c>
      <c r="N5" s="699" t="str">
        <f>IF(AND(Betriebsdaten!E3&lt;&gt;"",Betriebsdaten!$G$10&lt;&gt;""),Betriebsdaten!E3,"")</f>
        <v/>
      </c>
      <c r="O5" s="700" t="str">
        <f>IF(AND(Betriebsdaten!F3&lt;&gt;"",Betriebsdaten!$G$10&lt;&gt;""),Betriebsdaten!F3,"")</f>
        <v/>
      </c>
      <c r="P5" s="700" t="str">
        <f>IF(AND(Betriebsdaten!G3&lt;&gt;"",Betriebsdaten!$G$10&lt;&gt;""),Betriebsdaten!G3,"")</f>
        <v/>
      </c>
      <c r="Q5" s="700" t="str">
        <f>IF(AND(Betriebsdaten!H3&lt;&gt;"",Betriebsdaten!$G$10&lt;&gt;""),Betriebsdaten!H3,"")</f>
        <v/>
      </c>
      <c r="R5" s="700" t="str">
        <f>IF(AND(Betriebsdaten!I3&lt;&gt;"",Betriebsdaten!$G$10&lt;&gt;""),Betriebsdaten!I3,"")</f>
        <v/>
      </c>
      <c r="S5" s="700" t="str">
        <f>IF(AND(Betriebsdaten!J3&lt;&gt;"",Betriebsdaten!$G$10&lt;&gt;""),Betriebsdaten!J3,"")</f>
        <v/>
      </c>
      <c r="T5" s="700" t="str">
        <f>IF(AND(Betriebsdaten!K3&lt;&gt;"",Betriebsdaten!$G$10&lt;&gt;""),Betriebsdaten!K3,"")</f>
        <v/>
      </c>
      <c r="U5" s="700" t="str">
        <f>IF(AND(Betriebsdaten!L3&lt;&gt;"",Betriebsdaten!$G$10&lt;&gt;""),Betriebsdaten!L3,"")</f>
        <v/>
      </c>
      <c r="V5" s="700" t="str">
        <f>IF(AND(Betriebsdaten!M3&lt;&gt;"",Betriebsdaten!$G$10&lt;&gt;""),Betriebsdaten!M3,"")</f>
        <v/>
      </c>
      <c r="W5" s="701" t="str">
        <f>IF(AND(Betriebsdaten!N3&lt;&gt;"",Betriebsdaten!$G$10&lt;&gt;""),Betriebsdaten!N3,"")</f>
        <v/>
      </c>
      <c r="X5" s="699" t="str">
        <f>IF(AND(Betriebsdaten!E3&lt;&gt;"",Betriebsdaten!$H$10&lt;&gt;""),Betriebsdaten!E3,"")</f>
        <v/>
      </c>
      <c r="Y5" s="700" t="str">
        <f>IF(AND(Betriebsdaten!F3&lt;&gt;"",Betriebsdaten!$H$10&lt;&gt;""),Betriebsdaten!F3,"")</f>
        <v/>
      </c>
      <c r="Z5" s="700" t="str">
        <f>IF(AND(Betriebsdaten!G3&lt;&gt;"",Betriebsdaten!$H$10&lt;&gt;""),Betriebsdaten!G3,"")</f>
        <v/>
      </c>
      <c r="AA5" s="700" t="str">
        <f>IF(AND(Betriebsdaten!H3&lt;&gt;"",Betriebsdaten!$H$10&lt;&gt;""),Betriebsdaten!H3,"")</f>
        <v/>
      </c>
      <c r="AB5" s="700" t="str">
        <f>IF(AND(Betriebsdaten!I3&lt;&gt;"",Betriebsdaten!$H$10&lt;&gt;""),Betriebsdaten!I3,"")</f>
        <v/>
      </c>
      <c r="AC5" s="700" t="str">
        <f>IF(AND(Betriebsdaten!J3&lt;&gt;"",Betriebsdaten!$H$10&lt;&gt;""),Betriebsdaten!J3,"")</f>
        <v/>
      </c>
      <c r="AD5" s="700" t="str">
        <f>IF(AND(Betriebsdaten!K3&lt;&gt;"",Betriebsdaten!$H$10&lt;&gt;""),Betriebsdaten!K3,"")</f>
        <v/>
      </c>
      <c r="AE5" s="700" t="str">
        <f>IF(AND(Betriebsdaten!L3&lt;&gt;"",Betriebsdaten!$H$10&lt;&gt;""),Betriebsdaten!L3,"")</f>
        <v/>
      </c>
      <c r="AF5" s="700" t="str">
        <f>IF(AND(Betriebsdaten!M3&lt;&gt;"",Betriebsdaten!$H$10&lt;&gt;""),Betriebsdaten!M3,"")</f>
        <v/>
      </c>
      <c r="AG5" s="701" t="str">
        <f>IF(AND(Betriebsdaten!N3&lt;&gt;"",Betriebsdaten!$H$10&lt;&gt;""),Betriebsdaten!N3,"")</f>
        <v/>
      </c>
      <c r="AH5" s="699" t="str">
        <f>IF(AND(Betriebsdaten!E3&lt;&gt;"",Betriebsdaten!$I$10&lt;&gt;""),Betriebsdaten!E3,"")</f>
        <v/>
      </c>
      <c r="AI5" s="700" t="str">
        <f>IF(AND(Betriebsdaten!F3&lt;&gt;"",Betriebsdaten!$I$10&lt;&gt;""),Betriebsdaten!F3,"")</f>
        <v/>
      </c>
      <c r="AJ5" s="700" t="str">
        <f>IF(AND(Betriebsdaten!G3&lt;&gt;"",Betriebsdaten!$I$10&lt;&gt;""),Betriebsdaten!G3,"")</f>
        <v/>
      </c>
      <c r="AK5" s="700" t="str">
        <f>IF(AND(Betriebsdaten!H3&lt;&gt;"",Betriebsdaten!$I$10&lt;&gt;""),Betriebsdaten!H3,"")</f>
        <v/>
      </c>
      <c r="AL5" s="700" t="str">
        <f>IF(AND(Betriebsdaten!I3&lt;&gt;"",Betriebsdaten!$I$10&lt;&gt;""),Betriebsdaten!I3,"")</f>
        <v/>
      </c>
      <c r="AM5" s="700" t="str">
        <f>IF(AND(Betriebsdaten!J3&lt;&gt;"",Betriebsdaten!$I$10&lt;&gt;""),Betriebsdaten!J3,"")</f>
        <v/>
      </c>
      <c r="AN5" s="700" t="str">
        <f>IF(AND(Betriebsdaten!K3&lt;&gt;"",Betriebsdaten!$I$10&lt;&gt;""),Betriebsdaten!K3,"")</f>
        <v/>
      </c>
      <c r="AO5" s="700" t="str">
        <f>IF(AND(Betriebsdaten!L3&lt;&gt;"",Betriebsdaten!$I$10&lt;&gt;""),Betriebsdaten!L3,"")</f>
        <v/>
      </c>
      <c r="AP5" s="700" t="str">
        <f>IF(AND(Betriebsdaten!M3&lt;&gt;"",Betriebsdaten!$I$10&lt;&gt;""),Betriebsdaten!M3,"")</f>
        <v/>
      </c>
      <c r="AQ5" s="701" t="str">
        <f>IF(AND(Betriebsdaten!N3&lt;&gt;"",Betriebsdaten!$I$10&lt;&gt;""),Betriebsdaten!N3,"")</f>
        <v/>
      </c>
      <c r="AR5" s="699" t="str">
        <f>IF(AND(Betriebsdaten!E3&lt;&gt;"",Betriebsdaten!$F$14&lt;&gt;""),Betriebsdaten!E3,"")</f>
        <v/>
      </c>
      <c r="AS5" s="700" t="str">
        <f>IF(AND(Betriebsdaten!F3&lt;&gt;"",Betriebsdaten!$F$14&lt;&gt;""),Betriebsdaten!F3,"")</f>
        <v/>
      </c>
      <c r="AT5" s="700" t="str">
        <f>IF(AND(Betriebsdaten!G3&lt;&gt;"",Betriebsdaten!$F$14&lt;&gt;""),Betriebsdaten!G3,"")</f>
        <v/>
      </c>
      <c r="AU5" s="700" t="str">
        <f>IF(AND(Betriebsdaten!H3&lt;&gt;"",Betriebsdaten!$F$14&lt;&gt;""),Betriebsdaten!H3,"")</f>
        <v/>
      </c>
      <c r="AV5" s="700" t="str">
        <f>IF(AND(Betriebsdaten!I3&lt;&gt;"",Betriebsdaten!$F$14&lt;&gt;""),Betriebsdaten!I3,"")</f>
        <v/>
      </c>
      <c r="AW5" s="700" t="str">
        <f>IF(AND(Betriebsdaten!J3&lt;&gt;"",Betriebsdaten!$F$14&lt;&gt;""),Betriebsdaten!J3,"")</f>
        <v/>
      </c>
      <c r="AX5" s="700" t="str">
        <f>IF(AND(Betriebsdaten!K3&lt;&gt;"",Betriebsdaten!$F$14&lt;&gt;""),Betriebsdaten!K3,"")</f>
        <v/>
      </c>
      <c r="AY5" s="700" t="str">
        <f>IF(AND(Betriebsdaten!L3&lt;&gt;"",Betriebsdaten!$F$14&lt;&gt;""),Betriebsdaten!L3,"")</f>
        <v/>
      </c>
      <c r="AZ5" s="700" t="str">
        <f>IF(AND(Betriebsdaten!M3&lt;&gt;"",Betriebsdaten!$F$14&lt;&gt;""),Betriebsdaten!M3,"")</f>
        <v/>
      </c>
      <c r="BA5" s="701" t="str">
        <f>IF(AND(Betriebsdaten!N3&lt;&gt;"",Betriebsdaten!$F$14&lt;&gt;""),Betriebsdaten!N3,"")</f>
        <v/>
      </c>
      <c r="BB5" s="699" t="str">
        <f>IF(AND(Betriebsdaten!E3&lt;&gt;"",Betriebsdaten!$G$14&lt;&gt;""),Betriebsdaten!E3,"")</f>
        <v/>
      </c>
      <c r="BC5" s="700" t="str">
        <f>IF(AND(Betriebsdaten!F3&lt;&gt;"",Betriebsdaten!$G$14&lt;&gt;""),Betriebsdaten!F3,"")</f>
        <v/>
      </c>
      <c r="BD5" s="700" t="str">
        <f>IF(AND(Betriebsdaten!G3&lt;&gt;"",Betriebsdaten!$G$14&lt;&gt;""),Betriebsdaten!G3,"")</f>
        <v/>
      </c>
      <c r="BE5" s="700" t="str">
        <f>IF(AND(Betriebsdaten!H3&lt;&gt;"",Betriebsdaten!$G$14&lt;&gt;""),Betriebsdaten!H3,"")</f>
        <v/>
      </c>
      <c r="BF5" s="700" t="str">
        <f>IF(AND(Betriebsdaten!I3&lt;&gt;"",Betriebsdaten!$G$14&lt;&gt;""),Betriebsdaten!I3,"")</f>
        <v/>
      </c>
      <c r="BG5" s="700" t="str">
        <f>IF(AND(Betriebsdaten!J3&lt;&gt;"",Betriebsdaten!$G$14&lt;&gt;""),Betriebsdaten!J3,"")</f>
        <v/>
      </c>
      <c r="BH5" s="700" t="str">
        <f>IF(AND(Betriebsdaten!K3&lt;&gt;"",Betriebsdaten!$G$14&lt;&gt;""),Betriebsdaten!K3,"")</f>
        <v/>
      </c>
      <c r="BI5" s="700" t="str">
        <f>IF(AND(Betriebsdaten!L3&lt;&gt;"",Betriebsdaten!$G$14&lt;&gt;""),Betriebsdaten!L3,"")</f>
        <v/>
      </c>
      <c r="BJ5" s="700" t="str">
        <f>IF(AND(Betriebsdaten!M3&lt;&gt;"",Betriebsdaten!$G$14&lt;&gt;""),Betriebsdaten!M3,"")</f>
        <v/>
      </c>
      <c r="BK5" s="701" t="str">
        <f>IF(AND(Betriebsdaten!N3&lt;&gt;"",Betriebsdaten!$G$14&lt;&gt;""),Betriebsdaten!N3,"")</f>
        <v/>
      </c>
      <c r="BL5" s="699" t="str">
        <f>IF(AND(Betriebsdaten!E3&lt;&gt;"",Betriebsdaten!$H$14&lt;&gt;""),Betriebsdaten!E3,"")</f>
        <v/>
      </c>
      <c r="BM5" s="700" t="str">
        <f>IF(AND(Betriebsdaten!F3&lt;&gt;"",Betriebsdaten!$H$14&lt;&gt;""),Betriebsdaten!F3,"")</f>
        <v/>
      </c>
      <c r="BN5" s="700" t="str">
        <f>IF(AND(Betriebsdaten!G3&lt;&gt;"",Betriebsdaten!$H$14&lt;&gt;""),Betriebsdaten!G3,"")</f>
        <v/>
      </c>
      <c r="BO5" s="700" t="str">
        <f>IF(AND(Betriebsdaten!H3&lt;&gt;"",Betriebsdaten!$H$14&lt;&gt;""),Betriebsdaten!H3,"")</f>
        <v/>
      </c>
      <c r="BP5" s="700" t="str">
        <f>IF(AND(Betriebsdaten!I3&lt;&gt;"",Betriebsdaten!$H$14&lt;&gt;""),Betriebsdaten!I3,"")</f>
        <v/>
      </c>
      <c r="BQ5" s="700" t="str">
        <f>IF(AND(Betriebsdaten!J3&lt;&gt;"",Betriebsdaten!$H$14&lt;&gt;""),Betriebsdaten!J3,"")</f>
        <v/>
      </c>
      <c r="BR5" s="700" t="str">
        <f>IF(AND(Betriebsdaten!K3&lt;&gt;"",Betriebsdaten!$H$14&lt;&gt;""),Betriebsdaten!K3,"")</f>
        <v/>
      </c>
      <c r="BS5" s="700" t="str">
        <f>IF(AND(Betriebsdaten!L3&lt;&gt;"",Betriebsdaten!$H$14&lt;&gt;""),Betriebsdaten!L3,"")</f>
        <v/>
      </c>
      <c r="BT5" s="700" t="str">
        <f>IF(AND(Betriebsdaten!M3&lt;&gt;"",Betriebsdaten!$H$14&lt;&gt;""),Betriebsdaten!M3,"")</f>
        <v/>
      </c>
      <c r="BU5" s="701" t="str">
        <f>IF(AND(Betriebsdaten!N3&lt;&gt;"",Betriebsdaten!$H$14&lt;&gt;""),Betriebsdaten!N3,"")</f>
        <v/>
      </c>
      <c r="BV5" s="699" t="str">
        <f>IF(AND(Betriebsdaten!E3&lt;&gt;"",Betriebsdaten!$I$14&lt;&gt;""),Betriebsdaten!E3,"")</f>
        <v/>
      </c>
      <c r="BW5" s="700" t="str">
        <f>IF(AND(Betriebsdaten!F3&lt;&gt;"",Betriebsdaten!$I$14&lt;&gt;""),Betriebsdaten!F3,"")</f>
        <v/>
      </c>
      <c r="BX5" s="700" t="str">
        <f>IF(AND(Betriebsdaten!G3&lt;&gt;"",Betriebsdaten!$I$14&lt;&gt;""),Betriebsdaten!G3,"")</f>
        <v/>
      </c>
      <c r="BY5" s="700" t="str">
        <f>IF(AND(Betriebsdaten!H3&lt;&gt;"",Betriebsdaten!$I$14&lt;&gt;""),Betriebsdaten!H3,"")</f>
        <v/>
      </c>
      <c r="BZ5" s="700" t="str">
        <f>IF(AND(Betriebsdaten!I3&lt;&gt;"",Betriebsdaten!$I$14&lt;&gt;""),Betriebsdaten!I3,"")</f>
        <v/>
      </c>
      <c r="CA5" s="700" t="str">
        <f>IF(AND(Betriebsdaten!J3&lt;&gt;"",Betriebsdaten!$I$14&lt;&gt;""),Betriebsdaten!J3,"")</f>
        <v/>
      </c>
      <c r="CB5" s="700" t="str">
        <f>IF(AND(Betriebsdaten!K3&lt;&gt;"",Betriebsdaten!$I$14&lt;&gt;""),Betriebsdaten!K3,"")</f>
        <v/>
      </c>
      <c r="CC5" s="700" t="str">
        <f>IF(AND(Betriebsdaten!L3&lt;&gt;"",Betriebsdaten!$I$14&lt;&gt;""),Betriebsdaten!L3,"")</f>
        <v/>
      </c>
      <c r="CD5" s="700" t="str">
        <f>IF(AND(Betriebsdaten!M3&lt;&gt;"",Betriebsdaten!$I$14&lt;&gt;""),Betriebsdaten!M3,"")</f>
        <v/>
      </c>
      <c r="CE5" s="701" t="str">
        <f>IF(AND(Betriebsdaten!N3&lt;&gt;"",Betriebsdaten!$I$14&lt;&gt;""),Betriebsdaten!N3,"")</f>
        <v/>
      </c>
    </row>
    <row r="6" spans="1:83" s="57" customFormat="1" ht="14.25" customHeight="1">
      <c r="A6" s="687" t="s">
        <v>551</v>
      </c>
      <c r="B6" s="702"/>
      <c r="C6" s="689" t="s">
        <v>5</v>
      </c>
      <c r="D6" s="703" t="str">
        <f>IF(D5&lt;&gt;"",IF(Betriebsdaten!E4="","-",Betriebsdaten!E4),"")</f>
        <v/>
      </c>
      <c r="E6" s="704" t="str">
        <f>IF(E5&lt;&gt;"",IF(Betriebsdaten!F4="","-",Betriebsdaten!F4),"")</f>
        <v/>
      </c>
      <c r="F6" s="704" t="str">
        <f>IF(F5&lt;&gt;"",IF(Betriebsdaten!G4="","-",Betriebsdaten!G4),"")</f>
        <v/>
      </c>
      <c r="G6" s="704" t="str">
        <f>IF(G5&lt;&gt;"",IF(Betriebsdaten!H4="","-",Betriebsdaten!H4),"")</f>
        <v/>
      </c>
      <c r="H6" s="704" t="str">
        <f>IF(H5&lt;&gt;"",IF(Betriebsdaten!I4="","-",Betriebsdaten!I4),"")</f>
        <v/>
      </c>
      <c r="I6" s="704" t="str">
        <f>IF(I5&lt;&gt;"",IF(Betriebsdaten!J4="","-",Betriebsdaten!J4),"")</f>
        <v/>
      </c>
      <c r="J6" s="704" t="str">
        <f>IF(J5&lt;&gt;"",IF(Betriebsdaten!K4="","-",Betriebsdaten!K4),"")</f>
        <v/>
      </c>
      <c r="K6" s="704" t="str">
        <f>IF(K5&lt;&gt;"",IF(Betriebsdaten!L4="","-",Betriebsdaten!L4),"")</f>
        <v/>
      </c>
      <c r="L6" s="704" t="str">
        <f>IF(L5&lt;&gt;"",IF(Betriebsdaten!M4="","-",Betriebsdaten!M4),"")</f>
        <v/>
      </c>
      <c r="M6" s="705" t="str">
        <f>IF(M5&lt;&gt;"",IF(Betriebsdaten!N4="","-",Betriebsdaten!N4),"")</f>
        <v/>
      </c>
      <c r="N6" s="703" t="str">
        <f>IF(N5&lt;&gt;"",D6,"")</f>
        <v/>
      </c>
      <c r="O6" s="704" t="str">
        <f t="shared" ref="O6:W6" si="0">IF(O5&lt;&gt;"",E6,"")</f>
        <v/>
      </c>
      <c r="P6" s="704" t="str">
        <f t="shared" si="0"/>
        <v/>
      </c>
      <c r="Q6" s="704" t="str">
        <f t="shared" si="0"/>
        <v/>
      </c>
      <c r="R6" s="704" t="str">
        <f t="shared" si="0"/>
        <v/>
      </c>
      <c r="S6" s="704" t="str">
        <f t="shared" si="0"/>
        <v/>
      </c>
      <c r="T6" s="704" t="str">
        <f t="shared" si="0"/>
        <v/>
      </c>
      <c r="U6" s="704" t="str">
        <f t="shared" si="0"/>
        <v/>
      </c>
      <c r="V6" s="704" t="str">
        <f t="shared" si="0"/>
        <v/>
      </c>
      <c r="W6" s="705" t="str">
        <f t="shared" si="0"/>
        <v/>
      </c>
      <c r="X6" s="703" t="str">
        <f>IF(X5&lt;&gt;"",D6,"")</f>
        <v/>
      </c>
      <c r="Y6" s="704" t="str">
        <f t="shared" ref="Y6:AG6" si="1">IF(Y5&lt;&gt;"",E6,"")</f>
        <v/>
      </c>
      <c r="Z6" s="704" t="str">
        <f t="shared" si="1"/>
        <v/>
      </c>
      <c r="AA6" s="704" t="str">
        <f t="shared" si="1"/>
        <v/>
      </c>
      <c r="AB6" s="704" t="str">
        <f t="shared" si="1"/>
        <v/>
      </c>
      <c r="AC6" s="704" t="str">
        <f t="shared" si="1"/>
        <v/>
      </c>
      <c r="AD6" s="704" t="str">
        <f t="shared" si="1"/>
        <v/>
      </c>
      <c r="AE6" s="704" t="str">
        <f t="shared" si="1"/>
        <v/>
      </c>
      <c r="AF6" s="704" t="str">
        <f t="shared" si="1"/>
        <v/>
      </c>
      <c r="AG6" s="705" t="str">
        <f t="shared" si="1"/>
        <v/>
      </c>
      <c r="AH6" s="703" t="str">
        <f>IF(AH5&lt;&gt;"",D6,"")</f>
        <v/>
      </c>
      <c r="AI6" s="704" t="str">
        <f t="shared" ref="AI6:AQ6" si="2">IF(AI5&lt;&gt;"",E6,"")</f>
        <v/>
      </c>
      <c r="AJ6" s="704" t="str">
        <f t="shared" si="2"/>
        <v/>
      </c>
      <c r="AK6" s="704" t="str">
        <f t="shared" si="2"/>
        <v/>
      </c>
      <c r="AL6" s="704" t="str">
        <f t="shared" si="2"/>
        <v/>
      </c>
      <c r="AM6" s="704" t="str">
        <f t="shared" si="2"/>
        <v/>
      </c>
      <c r="AN6" s="704" t="str">
        <f t="shared" si="2"/>
        <v/>
      </c>
      <c r="AO6" s="704" t="str">
        <f t="shared" si="2"/>
        <v/>
      </c>
      <c r="AP6" s="704" t="str">
        <f t="shared" si="2"/>
        <v/>
      </c>
      <c r="AQ6" s="705" t="str">
        <f t="shared" si="2"/>
        <v/>
      </c>
      <c r="AR6" s="703" t="str">
        <f>IF(AR5&lt;&gt;"",D6,"")</f>
        <v/>
      </c>
      <c r="AS6" s="704" t="str">
        <f t="shared" ref="AS6:BA6" si="3">IF(AS5&lt;&gt;"",E6,"")</f>
        <v/>
      </c>
      <c r="AT6" s="704" t="str">
        <f t="shared" si="3"/>
        <v/>
      </c>
      <c r="AU6" s="704" t="str">
        <f t="shared" si="3"/>
        <v/>
      </c>
      <c r="AV6" s="704" t="str">
        <f t="shared" si="3"/>
        <v/>
      </c>
      <c r="AW6" s="704" t="str">
        <f t="shared" si="3"/>
        <v/>
      </c>
      <c r="AX6" s="704" t="str">
        <f t="shared" si="3"/>
        <v/>
      </c>
      <c r="AY6" s="704" t="str">
        <f t="shared" si="3"/>
        <v/>
      </c>
      <c r="AZ6" s="704" t="str">
        <f t="shared" si="3"/>
        <v/>
      </c>
      <c r="BA6" s="705" t="str">
        <f t="shared" si="3"/>
        <v/>
      </c>
      <c r="BB6" s="703" t="str">
        <f>IF(BB5&lt;&gt;"",D6,"")</f>
        <v/>
      </c>
      <c r="BC6" s="704" t="str">
        <f t="shared" ref="BC6:BK6" si="4">IF(BC5&lt;&gt;"",E6,"")</f>
        <v/>
      </c>
      <c r="BD6" s="704" t="str">
        <f t="shared" si="4"/>
        <v/>
      </c>
      <c r="BE6" s="704" t="str">
        <f t="shared" si="4"/>
        <v/>
      </c>
      <c r="BF6" s="704" t="str">
        <f t="shared" si="4"/>
        <v/>
      </c>
      <c r="BG6" s="704" t="str">
        <f t="shared" si="4"/>
        <v/>
      </c>
      <c r="BH6" s="704" t="str">
        <f t="shared" si="4"/>
        <v/>
      </c>
      <c r="BI6" s="704" t="str">
        <f t="shared" si="4"/>
        <v/>
      </c>
      <c r="BJ6" s="704" t="str">
        <f t="shared" si="4"/>
        <v/>
      </c>
      <c r="BK6" s="705" t="str">
        <f t="shared" si="4"/>
        <v/>
      </c>
      <c r="BL6" s="703" t="str">
        <f>IF(BL5&lt;&gt;"",D6,"")</f>
        <v/>
      </c>
      <c r="BM6" s="704" t="str">
        <f t="shared" ref="BM6:BU6" si="5">IF(BM5&lt;&gt;"",E6,"")</f>
        <v/>
      </c>
      <c r="BN6" s="704" t="str">
        <f t="shared" si="5"/>
        <v/>
      </c>
      <c r="BO6" s="704" t="str">
        <f t="shared" si="5"/>
        <v/>
      </c>
      <c r="BP6" s="704" t="str">
        <f t="shared" si="5"/>
        <v/>
      </c>
      <c r="BQ6" s="704" t="str">
        <f t="shared" si="5"/>
        <v/>
      </c>
      <c r="BR6" s="704" t="str">
        <f t="shared" si="5"/>
        <v/>
      </c>
      <c r="BS6" s="704" t="str">
        <f t="shared" si="5"/>
        <v/>
      </c>
      <c r="BT6" s="704" t="str">
        <f t="shared" si="5"/>
        <v/>
      </c>
      <c r="BU6" s="705" t="str">
        <f t="shared" si="5"/>
        <v/>
      </c>
      <c r="BV6" s="703" t="str">
        <f>IF(BV5&lt;&gt;"",D6,"")</f>
        <v/>
      </c>
      <c r="BW6" s="704" t="str">
        <f t="shared" ref="BW6:CE6" si="6">IF(BW5&lt;&gt;"",E6,"")</f>
        <v/>
      </c>
      <c r="BX6" s="704" t="str">
        <f t="shared" si="6"/>
        <v/>
      </c>
      <c r="BY6" s="704" t="str">
        <f t="shared" si="6"/>
        <v/>
      </c>
      <c r="BZ6" s="704" t="str">
        <f t="shared" si="6"/>
        <v/>
      </c>
      <c r="CA6" s="704" t="str">
        <f t="shared" si="6"/>
        <v/>
      </c>
      <c r="CB6" s="704" t="str">
        <f t="shared" si="6"/>
        <v/>
      </c>
      <c r="CC6" s="704" t="str">
        <f t="shared" si="6"/>
        <v/>
      </c>
      <c r="CD6" s="704" t="str">
        <f t="shared" si="6"/>
        <v/>
      </c>
      <c r="CE6" s="705" t="str">
        <f t="shared" si="6"/>
        <v/>
      </c>
    </row>
    <row r="7" spans="1:83" s="57" customFormat="1" ht="14.25" customHeight="1">
      <c r="A7" s="666" t="s">
        <v>552</v>
      </c>
      <c r="B7" s="667" t="s">
        <v>612</v>
      </c>
      <c r="C7" s="668" t="s">
        <v>147</v>
      </c>
      <c r="D7" s="669" t="str">
        <f>IF(D5&lt;&gt;"",(MIN(Betriebsdaten!$E$11,HLOOKUP(D5,Parameter!$C$157:$J$163,7,FALSE))+MIN(Betriebsdaten!$F$11,HLOOKUP(D5,Parameter!$C$157:$J$163,7,FALSE)))/2,"")</f>
        <v/>
      </c>
      <c r="E7" s="670" t="str">
        <f>IF(E5&lt;&gt;"",(MIN(Betriebsdaten!$E$11,HLOOKUP(E5,Parameter!$C$157:$J$163,7,FALSE))+MIN(Betriebsdaten!$F$11,HLOOKUP(E5,Parameter!$C$157:$J$163,7,FALSE)))/2,"")</f>
        <v/>
      </c>
      <c r="F7" s="670" t="str">
        <f>IF(F5&lt;&gt;"",(MIN(Betriebsdaten!$E$11,HLOOKUP(F5,Parameter!$C$157:$J$163,7,FALSE))+MIN(Betriebsdaten!$F$11,HLOOKUP(F5,Parameter!$C$157:$J$163,7,FALSE)))/2,"")</f>
        <v/>
      </c>
      <c r="G7" s="670" t="str">
        <f>IF(G5&lt;&gt;"",(MIN(Betriebsdaten!$E$11,HLOOKUP(G5,Parameter!$C$157:$J$163,7,FALSE))+MIN(Betriebsdaten!$F$11,HLOOKUP(G5,Parameter!$C$157:$J$163,7,FALSE)))/2,"")</f>
        <v/>
      </c>
      <c r="H7" s="670" t="str">
        <f>IF(H5&lt;&gt;"",(MIN(Betriebsdaten!$E$11,HLOOKUP(H5,Parameter!$C$157:$J$163,7,FALSE))+MIN(Betriebsdaten!$F$11,HLOOKUP(H5,Parameter!$C$157:$J$163,7,FALSE)))/2,"")</f>
        <v/>
      </c>
      <c r="I7" s="670" t="str">
        <f>IF(I5&lt;&gt;"",(MIN(Betriebsdaten!$E$11,HLOOKUP(I5,Parameter!$C$157:$J$163,7,FALSE))+MIN(Betriebsdaten!$F$11,HLOOKUP(I5,Parameter!$C$157:$J$163,7,FALSE)))/2,"")</f>
        <v/>
      </c>
      <c r="J7" s="670" t="str">
        <f>IF(J5&lt;&gt;"",(MIN(Betriebsdaten!$E$11,HLOOKUP(J5,Parameter!$C$157:$J$163,7,FALSE))+MIN(Betriebsdaten!$F$11,HLOOKUP(J5,Parameter!$C$157:$J$163,7,FALSE)))/2,"")</f>
        <v/>
      </c>
      <c r="K7" s="670" t="str">
        <f>IF(K5&lt;&gt;"",(MIN(Betriebsdaten!$E$11,HLOOKUP(K5,Parameter!$C$157:$J$163,7,FALSE))+MIN(Betriebsdaten!$F$11,HLOOKUP(K5,Parameter!$C$157:$J$163,7,FALSE)))/2,"")</f>
        <v/>
      </c>
      <c r="L7" s="670" t="str">
        <f>IF(L5&lt;&gt;"",(MIN(Betriebsdaten!$E$11,HLOOKUP(L5,Parameter!$C$157:$J$163,7,FALSE))+MIN(Betriebsdaten!$F$11,HLOOKUP(L5,Parameter!$C$157:$J$163,7,FALSE)))/2,"")</f>
        <v/>
      </c>
      <c r="M7" s="671" t="str">
        <f>IF(M5&lt;&gt;"",(MIN(Betriebsdaten!$E$11,HLOOKUP(M5,Parameter!$C$157:$J$163,7,FALSE))+MIN(Betriebsdaten!$F$11,HLOOKUP(M5,Parameter!$C$157:$J$163,7,FALSE)))/2,"")</f>
        <v/>
      </c>
      <c r="N7" s="669" t="str">
        <f>IF(N5&lt;&gt;"",(MIN(Betriebsdaten!$F$11,HLOOKUP(N5,Parameter!$C$157:$J$163,7,FALSE))+MIN(Betriebsdaten!$G$11,HLOOKUP(N5,Parameter!$C$157:$J$163,7,FALSE)))/2,"")</f>
        <v/>
      </c>
      <c r="O7" s="670" t="str">
        <f>IF(O5&lt;&gt;"",(MIN(Betriebsdaten!$F$11,HLOOKUP(O5,Parameter!$C$157:$J$163,7,FALSE))+MIN(Betriebsdaten!$G$11,HLOOKUP(O5,Parameter!$C$157:$J$163,7,FALSE)))/2,"")</f>
        <v/>
      </c>
      <c r="P7" s="670" t="str">
        <f>IF(P5&lt;&gt;"",(MIN(Betriebsdaten!$F$11,HLOOKUP(P5,Parameter!$C$157:$J$163,7,FALSE))+MIN(Betriebsdaten!$G$11,HLOOKUP(P5,Parameter!$C$157:$J$163,7,FALSE)))/2,"")</f>
        <v/>
      </c>
      <c r="Q7" s="670" t="str">
        <f>IF(Q5&lt;&gt;"",(MIN(Betriebsdaten!$F$11,HLOOKUP(Q5,Parameter!$C$157:$J$163,7,FALSE))+MIN(Betriebsdaten!$G$11,HLOOKUP(Q5,Parameter!$C$157:$J$163,7,FALSE)))/2,"")</f>
        <v/>
      </c>
      <c r="R7" s="670" t="str">
        <f>IF(R5&lt;&gt;"",(MIN(Betriebsdaten!$F$11,HLOOKUP(R5,Parameter!$C$157:$J$163,7,FALSE))+MIN(Betriebsdaten!$G$11,HLOOKUP(R5,Parameter!$C$157:$J$163,7,FALSE)))/2,"")</f>
        <v/>
      </c>
      <c r="S7" s="670" t="str">
        <f>IF(S5&lt;&gt;"",(MIN(Betriebsdaten!$F$11,HLOOKUP(S5,Parameter!$C$157:$J$163,7,FALSE))+MIN(Betriebsdaten!$G$11,HLOOKUP(S5,Parameter!$C$157:$J$163,7,FALSE)))/2,"")</f>
        <v/>
      </c>
      <c r="T7" s="670" t="str">
        <f>IF(T5&lt;&gt;"",(MIN(Betriebsdaten!$F$11,HLOOKUP(T5,Parameter!$C$157:$J$163,7,FALSE))+MIN(Betriebsdaten!$G$11,HLOOKUP(T5,Parameter!$C$157:$J$163,7,FALSE)))/2,"")</f>
        <v/>
      </c>
      <c r="U7" s="670" t="str">
        <f>IF(U5&lt;&gt;"",(MIN(Betriebsdaten!$F$11,HLOOKUP(U5,Parameter!$C$157:$J$163,7,FALSE))+MIN(Betriebsdaten!$G$11,HLOOKUP(U5,Parameter!$C$157:$J$163,7,FALSE)))/2,"")</f>
        <v/>
      </c>
      <c r="V7" s="670" t="str">
        <f>IF(V5&lt;&gt;"",(MIN(Betriebsdaten!$F$11,HLOOKUP(V5,Parameter!$C$157:$J$163,7,FALSE))+MIN(Betriebsdaten!$G$11,HLOOKUP(V5,Parameter!$C$157:$J$163,7,FALSE)))/2,"")</f>
        <v/>
      </c>
      <c r="W7" s="671" t="str">
        <f>IF(W5&lt;&gt;"",(MIN(Betriebsdaten!$F$11,HLOOKUP(W5,Parameter!$C$157:$J$163,7,FALSE))+MIN(Betriebsdaten!$G$11,HLOOKUP(W5,Parameter!$C$157:$J$163,7,FALSE)))/2,"")</f>
        <v/>
      </c>
      <c r="X7" s="669" t="str">
        <f>IF(X5&lt;&gt;"",(MIN(Betriebsdaten!$G$11,HLOOKUP(X5,Parameter!$C$157:$J$163,7,FALSE))+MIN(Betriebsdaten!$H$11,HLOOKUP(X5,Parameter!$C$157:$J$163,7,FALSE)))/2,"")</f>
        <v/>
      </c>
      <c r="Y7" s="670" t="str">
        <f>IF(Y5&lt;&gt;"",(MIN(Betriebsdaten!$G$11,HLOOKUP(Y5,Parameter!$C$157:$J$163,7,FALSE))+MIN(Betriebsdaten!$H$11,HLOOKUP(Y5,Parameter!$C$157:$J$163,7,FALSE)))/2,"")</f>
        <v/>
      </c>
      <c r="Z7" s="670" t="str">
        <f>IF(Z5&lt;&gt;"",(MIN(Betriebsdaten!$G$11,HLOOKUP(Z5,Parameter!$C$157:$J$163,7,FALSE))+MIN(Betriebsdaten!$H$11,HLOOKUP(Z5,Parameter!$C$157:$J$163,7,FALSE)))/2,"")</f>
        <v/>
      </c>
      <c r="AA7" s="670" t="str">
        <f>IF(AA5&lt;&gt;"",(MIN(Betriebsdaten!$G$11,HLOOKUP(AA5,Parameter!$C$157:$J$163,7,FALSE))+MIN(Betriebsdaten!$H$11,HLOOKUP(AA5,Parameter!$C$157:$J$163,7,FALSE)))/2,"")</f>
        <v/>
      </c>
      <c r="AB7" s="670" t="str">
        <f>IF(AB5&lt;&gt;"",(MIN(Betriebsdaten!$G$11,HLOOKUP(AB5,Parameter!$C$157:$J$163,7,FALSE))+MIN(Betriebsdaten!$H$11,HLOOKUP(AB5,Parameter!$C$157:$J$163,7,FALSE)))/2,"")</f>
        <v/>
      </c>
      <c r="AC7" s="670" t="str">
        <f>IF(AC5&lt;&gt;"",(MIN(Betriebsdaten!$G$11,HLOOKUP(AC5,Parameter!$C$157:$J$163,7,FALSE))+MIN(Betriebsdaten!$H$11,HLOOKUP(AC5,Parameter!$C$157:$J$163,7,FALSE)))/2,"")</f>
        <v/>
      </c>
      <c r="AD7" s="670" t="str">
        <f>IF(AD5&lt;&gt;"",(MIN(Betriebsdaten!$G$11,HLOOKUP(AD5,Parameter!$C$157:$J$163,7,FALSE))+MIN(Betriebsdaten!$H$11,HLOOKUP(AD5,Parameter!$C$157:$J$163,7,FALSE)))/2,"")</f>
        <v/>
      </c>
      <c r="AE7" s="670" t="str">
        <f>IF(AE5&lt;&gt;"",(MIN(Betriebsdaten!$G$11,HLOOKUP(AE5,Parameter!$C$157:$J$163,7,FALSE))+MIN(Betriebsdaten!$H$11,HLOOKUP(AE5,Parameter!$C$157:$J$163,7,FALSE)))/2,"")</f>
        <v/>
      </c>
      <c r="AF7" s="670" t="str">
        <f>IF(AF5&lt;&gt;"",(MIN(Betriebsdaten!$G$11,HLOOKUP(AF5,Parameter!$C$157:$J$163,7,FALSE))+MIN(Betriebsdaten!$H$11,HLOOKUP(AF5,Parameter!$C$157:$J$163,7,FALSE)))/2,"")</f>
        <v/>
      </c>
      <c r="AG7" s="671" t="str">
        <f>IF(AG5&lt;&gt;"",(MIN(Betriebsdaten!$G$11,HLOOKUP(AG5,Parameter!$C$157:$J$163,7,FALSE))+MIN(Betriebsdaten!$H$11,HLOOKUP(AG5,Parameter!$C$157:$J$163,7,FALSE)))/2,"")</f>
        <v/>
      </c>
      <c r="AH7" s="669" t="str">
        <f>IF(AH5&lt;&gt;"",(MIN(Betriebsdaten!$H$11,HLOOKUP(AH5,Parameter!$C$157:$J$163,7,FALSE))+MIN(Betriebsdaten!$I$11,HLOOKUP(AH5,Parameter!$C$157:$J$163,7,FALSE)))/2,"")</f>
        <v/>
      </c>
      <c r="AI7" s="670" t="str">
        <f>IF(AI5&lt;&gt;"",(MIN(Betriebsdaten!$H$11,HLOOKUP(AI5,Parameter!$C$157:$J$163,7,FALSE))+MIN(Betriebsdaten!$I$11,HLOOKUP(AI5,Parameter!$C$157:$J$163,7,FALSE)))/2,"")</f>
        <v/>
      </c>
      <c r="AJ7" s="670" t="str">
        <f>IF(AJ5&lt;&gt;"",(MIN(Betriebsdaten!$H$11,HLOOKUP(AJ5,Parameter!$C$157:$J$163,7,FALSE))+MIN(Betriebsdaten!$I$11,HLOOKUP(AJ5,Parameter!$C$157:$J$163,7,FALSE)))/2,"")</f>
        <v/>
      </c>
      <c r="AK7" s="670" t="str">
        <f>IF(AK5&lt;&gt;"",(MIN(Betriebsdaten!$H$11,HLOOKUP(AK5,Parameter!$C$157:$J$163,7,FALSE))+MIN(Betriebsdaten!$I$11,HLOOKUP(AK5,Parameter!$C$157:$J$163,7,FALSE)))/2,"")</f>
        <v/>
      </c>
      <c r="AL7" s="670" t="str">
        <f>IF(AL5&lt;&gt;"",(MIN(Betriebsdaten!$H$11,HLOOKUP(AL5,Parameter!$C$157:$J$163,7,FALSE))+MIN(Betriebsdaten!$I$11,HLOOKUP(AL5,Parameter!$C$157:$J$163,7,FALSE)))/2,"")</f>
        <v/>
      </c>
      <c r="AM7" s="670" t="str">
        <f>IF(AM5&lt;&gt;"",(MIN(Betriebsdaten!$H$11,HLOOKUP(AM5,Parameter!$C$157:$J$163,7,FALSE))+MIN(Betriebsdaten!$I$11,HLOOKUP(AM5,Parameter!$C$157:$J$163,7,FALSE)))/2,"")</f>
        <v/>
      </c>
      <c r="AN7" s="670" t="str">
        <f>IF(AN5&lt;&gt;"",(MIN(Betriebsdaten!$H$11,HLOOKUP(AN5,Parameter!$C$157:$J$163,7,FALSE))+MIN(Betriebsdaten!$I$11,HLOOKUP(AN5,Parameter!$C$157:$J$163,7,FALSE)))/2,"")</f>
        <v/>
      </c>
      <c r="AO7" s="670" t="str">
        <f>IF(AO5&lt;&gt;"",(MIN(Betriebsdaten!$H$11,HLOOKUP(AO5,Parameter!$C$157:$J$163,7,FALSE))+MIN(Betriebsdaten!$I$11,HLOOKUP(AO5,Parameter!$C$157:$J$163,7,FALSE)))/2,"")</f>
        <v/>
      </c>
      <c r="AP7" s="670" t="str">
        <f>IF(AP5&lt;&gt;"",(MIN(Betriebsdaten!$H$11,HLOOKUP(AP5,Parameter!$C$157:$J$163,7,FALSE))+MIN(Betriebsdaten!$I$11,HLOOKUP(AP5,Parameter!$C$157:$J$163,7,FALSE)))/2,"")</f>
        <v/>
      </c>
      <c r="AQ7" s="671" t="str">
        <f>IF(AQ5&lt;&gt;"",(MIN(Betriebsdaten!$H$11,HLOOKUP(AQ5,Parameter!$C$157:$J$163,7,FALSE))+MIN(Betriebsdaten!$I$11,HLOOKUP(AQ5,Parameter!$C$157:$J$163,7,FALSE)))/2,"")</f>
        <v/>
      </c>
      <c r="AR7" s="669" t="str">
        <f>IF(AR5&lt;&gt;"",(MIN(Betriebsdaten!$E$14,HLOOKUP(AR5,Parameter!$C$157:$J$163,7,FALSE))+MIN(Betriebsdaten!$F$14,HLOOKUP(AR5,Parameter!$C$157:$J$163,7,FALSE)))/2,"")</f>
        <v/>
      </c>
      <c r="AS7" s="923" t="str">
        <f>IF(AS5&lt;&gt;"",(MIN(Betriebsdaten!$E$14,HLOOKUP(AS5,Parameter!$C$157:$J$163,7,FALSE))+MIN(Betriebsdaten!$F$14,HLOOKUP(AS5,Parameter!$C$157:$J$163,7,FALSE)))/2,"")</f>
        <v/>
      </c>
      <c r="AT7" s="670" t="str">
        <f>IF(AT5&lt;&gt;"",(MIN(Betriebsdaten!$E$14,HLOOKUP(AT5,Parameter!$C$157:$J$163,7,FALSE))+MIN(Betriebsdaten!$F$14,HLOOKUP(AT5,Parameter!$C$157:$J$163,7,FALSE)))/2,"")</f>
        <v/>
      </c>
      <c r="AU7" s="670" t="str">
        <f>IF(AU5&lt;&gt;"",(MIN(Betriebsdaten!$E$14,HLOOKUP(AU5,Parameter!$C$157:$J$163,7,FALSE))+MIN(Betriebsdaten!$F$14,HLOOKUP(AU5,Parameter!$C$157:$J$163,7,FALSE)))/2,"")</f>
        <v/>
      </c>
      <c r="AV7" s="670" t="str">
        <f>IF(AV5&lt;&gt;"",(MIN(Betriebsdaten!$E$14,HLOOKUP(AV5,Parameter!$C$157:$J$163,7,FALSE))+MIN(Betriebsdaten!$F$14,HLOOKUP(AV5,Parameter!$C$157:$J$163,7,FALSE)))/2,"")</f>
        <v/>
      </c>
      <c r="AW7" s="670" t="str">
        <f>IF(AW5&lt;&gt;"",(MIN(Betriebsdaten!$E$14,HLOOKUP(AW5,Parameter!$C$157:$J$163,7,FALSE))+MIN(Betriebsdaten!$F$14,HLOOKUP(AW5,Parameter!$C$157:$J$163,7,FALSE)))/2,"")</f>
        <v/>
      </c>
      <c r="AX7" s="670" t="str">
        <f>IF(AX5&lt;&gt;"",(MIN(Betriebsdaten!$E$14,HLOOKUP(AX5,Parameter!$C$157:$J$163,7,FALSE))+MIN(Betriebsdaten!$F$14,HLOOKUP(AX5,Parameter!$C$157:$J$163,7,FALSE)))/2,"")</f>
        <v/>
      </c>
      <c r="AY7" s="670" t="str">
        <f>IF(AY5&lt;&gt;"",(MIN(Betriebsdaten!$E$14,HLOOKUP(AY5,Parameter!$C$157:$J$163,7,FALSE))+MIN(Betriebsdaten!$F$14,HLOOKUP(AY5,Parameter!$C$157:$J$163,7,FALSE)))/2,"")</f>
        <v/>
      </c>
      <c r="AZ7" s="670" t="str">
        <f>IF(AZ5&lt;&gt;"",(MIN(Betriebsdaten!$E$14,HLOOKUP(AZ5,Parameter!$C$157:$J$163,7,FALSE))+MIN(Betriebsdaten!$F$14,HLOOKUP(AZ5,Parameter!$C$157:$J$163,7,FALSE)))/2,"")</f>
        <v/>
      </c>
      <c r="BA7" s="671" t="str">
        <f>IF(BA5&lt;&gt;"",(MIN(Betriebsdaten!$E$14,HLOOKUP(BA5,Parameter!$C$157:$J$163,7,FALSE))+MIN(Betriebsdaten!$F$14,HLOOKUP(BA5,Parameter!$C$157:$J$163,7,FALSE)))/2,"")</f>
        <v/>
      </c>
      <c r="BB7" s="669" t="str">
        <f>IF(BB5&lt;&gt;"",(MIN(Betriebsdaten!$F$14,HLOOKUP(BB5,Parameter!$C$157:$J$163,7,FALSE))+MIN(Betriebsdaten!$G$14,HLOOKUP(BB5,Parameter!$C$157:$J$163,7,FALSE)))/2,"")</f>
        <v/>
      </c>
      <c r="BC7" s="670" t="str">
        <f>IF(BC5&lt;&gt;"",(MIN(Betriebsdaten!$F$14,HLOOKUP(BC5,Parameter!$C$157:$J$163,7,FALSE))+MIN(Betriebsdaten!$G$14,HLOOKUP(BC5,Parameter!$C$157:$J$163,7,FALSE)))/2,"")</f>
        <v/>
      </c>
      <c r="BD7" s="670" t="str">
        <f>IF(BD5&lt;&gt;"",(MIN(Betriebsdaten!$F$14,HLOOKUP(BD5,Parameter!$C$157:$J$163,7,FALSE))+MIN(Betriebsdaten!$G$14,HLOOKUP(BD5,Parameter!$C$157:$J$163,7,FALSE)))/2,"")</f>
        <v/>
      </c>
      <c r="BE7" s="670" t="str">
        <f>IF(BE5&lt;&gt;"",(MIN(Betriebsdaten!$F$14,HLOOKUP(BE5,Parameter!$C$157:$J$163,7,FALSE))+MIN(Betriebsdaten!$G$14,HLOOKUP(BE5,Parameter!$C$157:$J$163,7,FALSE)))/2,"")</f>
        <v/>
      </c>
      <c r="BF7" s="670" t="str">
        <f>IF(BF5&lt;&gt;"",(MIN(Betriebsdaten!$F$14,HLOOKUP(BF5,Parameter!$C$157:$J$163,7,FALSE))+MIN(Betriebsdaten!$G$14,HLOOKUP(BF5,Parameter!$C$157:$J$163,7,FALSE)))/2,"")</f>
        <v/>
      </c>
      <c r="BG7" s="670" t="str">
        <f>IF(BG5&lt;&gt;"",(MIN(Betriebsdaten!$F$14,HLOOKUP(BG5,Parameter!$C$157:$J$163,7,FALSE))+MIN(Betriebsdaten!$G$14,HLOOKUP(BG5,Parameter!$C$157:$J$163,7,FALSE)))/2,"")</f>
        <v/>
      </c>
      <c r="BH7" s="670" t="str">
        <f>IF(BH5&lt;&gt;"",(MIN(Betriebsdaten!$F$14,HLOOKUP(BH5,Parameter!$C$157:$J$163,7,FALSE))+MIN(Betriebsdaten!$G$14,HLOOKUP(BH5,Parameter!$C$157:$J$163,7,FALSE)))/2,"")</f>
        <v/>
      </c>
      <c r="BI7" s="670" t="str">
        <f>IF(BI5&lt;&gt;"",(MIN(Betriebsdaten!$F$14,HLOOKUP(BI5,Parameter!$C$157:$J$163,7,FALSE))+MIN(Betriebsdaten!$G$14,HLOOKUP(BI5,Parameter!$C$157:$J$163,7,FALSE)))/2,"")</f>
        <v/>
      </c>
      <c r="BJ7" s="670" t="str">
        <f>IF(BJ5&lt;&gt;"",(MIN(Betriebsdaten!$F$14,HLOOKUP(BJ5,Parameter!$C$157:$J$163,7,FALSE))+MIN(Betriebsdaten!$G$14,HLOOKUP(BJ5,Parameter!$C$157:$J$163,7,FALSE)))/2,"")</f>
        <v/>
      </c>
      <c r="BK7" s="671" t="str">
        <f>IF(BK5&lt;&gt;"",(MIN(Betriebsdaten!$F$14,HLOOKUP(BK5,Parameter!$C$157:$J$163,7,FALSE))+MIN(Betriebsdaten!$G$14,HLOOKUP(BK5,Parameter!$C$157:$J$163,7,FALSE)))/2,"")</f>
        <v/>
      </c>
      <c r="BL7" s="669" t="str">
        <f>IF(BL5&lt;&gt;"",(MIN(Betriebsdaten!$G$14,HLOOKUP(BL5,Parameter!$C$157:$J$163,7,FALSE))+MIN(Betriebsdaten!$H$14,HLOOKUP(BL5,Parameter!$C$157:$J$163,7,FALSE)))/2,"")</f>
        <v/>
      </c>
      <c r="BM7" s="670" t="str">
        <f>IF(BM5&lt;&gt;"",(MIN(Betriebsdaten!$G$14,HLOOKUP(BM5,Parameter!$C$157:$J$163,7,FALSE))+MIN(Betriebsdaten!$H$14,HLOOKUP(BM5,Parameter!$C$157:$J$163,7,FALSE)))/2,"")</f>
        <v/>
      </c>
      <c r="BN7" s="670" t="str">
        <f>IF(BN5&lt;&gt;"",(MIN(Betriebsdaten!$G$14,HLOOKUP(BN5,Parameter!$C$157:$J$163,7,FALSE))+MIN(Betriebsdaten!$H$14,HLOOKUP(BN5,Parameter!$C$157:$J$163,7,FALSE)))/2,"")</f>
        <v/>
      </c>
      <c r="BO7" s="670" t="str">
        <f>IF(BO5&lt;&gt;"",(MIN(Betriebsdaten!$G$14,HLOOKUP(BO5,Parameter!$C$157:$J$163,7,FALSE))+MIN(Betriebsdaten!$H$14,HLOOKUP(BO5,Parameter!$C$157:$J$163,7,FALSE)))/2,"")</f>
        <v/>
      </c>
      <c r="BP7" s="670" t="str">
        <f>IF(BP5&lt;&gt;"",(MIN(Betriebsdaten!$G$14,HLOOKUP(BP5,Parameter!$C$157:$J$163,7,FALSE))+MIN(Betriebsdaten!$H$14,HLOOKUP(BP5,Parameter!$C$157:$J$163,7,FALSE)))/2,"")</f>
        <v/>
      </c>
      <c r="BQ7" s="670" t="str">
        <f>IF(BQ5&lt;&gt;"",(MIN(Betriebsdaten!$G$14,HLOOKUP(BQ5,Parameter!$C$157:$J$163,7,FALSE))+MIN(Betriebsdaten!$H$14,HLOOKUP(BQ5,Parameter!$C$157:$J$163,7,FALSE)))/2,"")</f>
        <v/>
      </c>
      <c r="BR7" s="670" t="str">
        <f>IF(BR5&lt;&gt;"",(MIN(Betriebsdaten!$G$14,HLOOKUP(BR5,Parameter!$C$157:$J$163,7,FALSE))+MIN(Betriebsdaten!$H$14,HLOOKUP(BR5,Parameter!$C$157:$J$163,7,FALSE)))/2,"")</f>
        <v/>
      </c>
      <c r="BS7" s="670" t="str">
        <f>IF(BS5&lt;&gt;"",(MIN(Betriebsdaten!$G$14,HLOOKUP(BS5,Parameter!$C$157:$J$163,7,FALSE))+MIN(Betriebsdaten!$H$14,HLOOKUP(BS5,Parameter!$C$157:$J$163,7,FALSE)))/2,"")</f>
        <v/>
      </c>
      <c r="BT7" s="670" t="str">
        <f>IF(BT5&lt;&gt;"",(MIN(Betriebsdaten!$G$14,HLOOKUP(BT5,Parameter!$C$157:$J$163,7,FALSE))+MIN(Betriebsdaten!$H$14,HLOOKUP(BT5,Parameter!$C$157:$J$163,7,FALSE)))/2,"")</f>
        <v/>
      </c>
      <c r="BU7" s="671" t="str">
        <f>IF(BU5&lt;&gt;"",(MIN(Betriebsdaten!$G$14,HLOOKUP(BU5,Parameter!$C$157:$J$163,7,FALSE))+MIN(Betriebsdaten!$H$14,HLOOKUP(BU5,Parameter!$C$157:$J$163,7,FALSE)))/2,"")</f>
        <v/>
      </c>
      <c r="BV7" s="669" t="str">
        <f>IF(BV5&lt;&gt;"",(MIN(Betriebsdaten!$H$14,HLOOKUP(BV5,Parameter!$C$157:$J$163,7,FALSE))+MIN(Betriebsdaten!$I$14,HLOOKUP(BV5,Parameter!$C$157:$J$163,7,FALSE)))/2,"")</f>
        <v/>
      </c>
      <c r="BW7" s="670" t="str">
        <f>IF(BW5&lt;&gt;"",(MIN(Betriebsdaten!$H$14,HLOOKUP(BW5,Parameter!$C$157:$J$163,7,FALSE))+MIN(Betriebsdaten!$I$14,HLOOKUP(BW5,Parameter!$C$157:$J$163,7,FALSE)))/2,"")</f>
        <v/>
      </c>
      <c r="BX7" s="670" t="str">
        <f>IF(BX5&lt;&gt;"",(MIN(Betriebsdaten!$H$14,HLOOKUP(BX5,Parameter!$C$157:$J$163,7,FALSE))+MIN(Betriebsdaten!$I$14,HLOOKUP(BX5,Parameter!$C$157:$J$163,7,FALSE)))/2,"")</f>
        <v/>
      </c>
      <c r="BY7" s="670" t="str">
        <f>IF(BY5&lt;&gt;"",(MIN(Betriebsdaten!$H$14,HLOOKUP(BY5,Parameter!$C$157:$J$163,7,FALSE))+MIN(Betriebsdaten!$I$14,HLOOKUP(BY5,Parameter!$C$157:$J$163,7,FALSE)))/2,"")</f>
        <v/>
      </c>
      <c r="BZ7" s="670" t="str">
        <f>IF(BZ5&lt;&gt;"",(MIN(Betriebsdaten!$H$14,HLOOKUP(BZ5,Parameter!$C$157:$J$163,7,FALSE))+MIN(Betriebsdaten!$I$14,HLOOKUP(BZ5,Parameter!$C$157:$J$163,7,FALSE)))/2,"")</f>
        <v/>
      </c>
      <c r="CA7" s="670" t="str">
        <f>IF(CA5&lt;&gt;"",(MIN(Betriebsdaten!$H$14,HLOOKUP(CA5,Parameter!$C$157:$J$163,7,FALSE))+MIN(Betriebsdaten!$I$14,HLOOKUP(CA5,Parameter!$C$157:$J$163,7,FALSE)))/2,"")</f>
        <v/>
      </c>
      <c r="CB7" s="670" t="str">
        <f>IF(CB5&lt;&gt;"",(MIN(Betriebsdaten!$H$14,HLOOKUP(CB5,Parameter!$C$157:$J$163,7,FALSE))+MIN(Betriebsdaten!$I$14,HLOOKUP(CB5,Parameter!$C$157:$J$163,7,FALSE)))/2,"")</f>
        <v/>
      </c>
      <c r="CC7" s="670" t="str">
        <f>IF(CC5&lt;&gt;"",(MIN(Betriebsdaten!$H$14,HLOOKUP(CC5,Parameter!$C$157:$J$163,7,FALSE))+MIN(Betriebsdaten!$I$14,HLOOKUP(CC5,Parameter!$C$157:$J$163,7,FALSE)))/2,"")</f>
        <v/>
      </c>
      <c r="CD7" s="670" t="str">
        <f>IF(CD5&lt;&gt;"",(MIN(Betriebsdaten!$H$14,HLOOKUP(CD5,Parameter!$C$157:$J$163,7,FALSE))+MIN(Betriebsdaten!$I$14,HLOOKUP(CD5,Parameter!$C$157:$J$163,7,FALSE)))/2,"")</f>
        <v/>
      </c>
      <c r="CE7" s="671" t="str">
        <f>IF(CE5&lt;&gt;"",(MIN(Betriebsdaten!$H$14,HLOOKUP(CE5,Parameter!$C$157:$J$163,7,FALSE))+MIN(Betriebsdaten!$I$14,HLOOKUP(CE5,Parameter!$C$157:$J$163,7,FALSE)))/2,"")</f>
        <v/>
      </c>
    </row>
    <row r="8" spans="1:83" s="57" customFormat="1" ht="14.25" customHeight="1">
      <c r="A8" s="672" t="s">
        <v>553</v>
      </c>
      <c r="B8" s="673" t="s">
        <v>613</v>
      </c>
      <c r="C8" s="674" t="s">
        <v>62</v>
      </c>
      <c r="D8" s="657" t="str">
        <f>IF(Betriebsdaten!E5&lt;&gt;"",Betriebsdaten!E5,"")</f>
        <v/>
      </c>
      <c r="E8" s="658" t="str">
        <f>IF(Betriebsdaten!F5&lt;&gt;"",Betriebsdaten!F5,"")</f>
        <v/>
      </c>
      <c r="F8" s="658" t="str">
        <f>IF(Betriebsdaten!G5&lt;&gt;"",Betriebsdaten!G5,"")</f>
        <v/>
      </c>
      <c r="G8" s="658" t="str">
        <f>IF(Betriebsdaten!H5&lt;&gt;"",Betriebsdaten!H5,"")</f>
        <v/>
      </c>
      <c r="H8" s="658" t="str">
        <f>IF(Betriebsdaten!I5&lt;&gt;"",Betriebsdaten!I5,"")</f>
        <v/>
      </c>
      <c r="I8" s="658" t="str">
        <f>IF(Betriebsdaten!J5&lt;&gt;"",Betriebsdaten!J5,"")</f>
        <v/>
      </c>
      <c r="J8" s="658" t="str">
        <f>IF(Betriebsdaten!K5&lt;&gt;"",Betriebsdaten!K5,"")</f>
        <v/>
      </c>
      <c r="K8" s="658" t="str">
        <f>IF(Betriebsdaten!L5&lt;&gt;"",Betriebsdaten!L5,"")</f>
        <v/>
      </c>
      <c r="L8" s="658" t="str">
        <f>IF(Betriebsdaten!M5&lt;&gt;"",Betriebsdaten!M5,"")</f>
        <v/>
      </c>
      <c r="M8" s="659" t="str">
        <f>IF(Betriebsdaten!N5&lt;&gt;"",Betriebsdaten!N5,"")</f>
        <v/>
      </c>
      <c r="N8" s="657" t="str">
        <f>IF(N$5&lt;&gt;"",D8,"")</f>
        <v/>
      </c>
      <c r="O8" s="658" t="str">
        <f t="shared" ref="O8:W8" si="7">IF(O$5&lt;&gt;"",E8,"")</f>
        <v/>
      </c>
      <c r="P8" s="658" t="str">
        <f t="shared" si="7"/>
        <v/>
      </c>
      <c r="Q8" s="658" t="str">
        <f t="shared" si="7"/>
        <v/>
      </c>
      <c r="R8" s="658" t="str">
        <f t="shared" si="7"/>
        <v/>
      </c>
      <c r="S8" s="658" t="str">
        <f t="shared" si="7"/>
        <v/>
      </c>
      <c r="T8" s="658" t="str">
        <f t="shared" si="7"/>
        <v/>
      </c>
      <c r="U8" s="658" t="str">
        <f t="shared" si="7"/>
        <v/>
      </c>
      <c r="V8" s="658" t="str">
        <f t="shared" si="7"/>
        <v/>
      </c>
      <c r="W8" s="659" t="str">
        <f t="shared" si="7"/>
        <v/>
      </c>
      <c r="X8" s="657" t="str">
        <f>IF(X$5&lt;&gt;"",D8,"")</f>
        <v/>
      </c>
      <c r="Y8" s="658" t="str">
        <f t="shared" ref="Y8:AG8" si="8">IF(Y$5&lt;&gt;"",E8,"")</f>
        <v/>
      </c>
      <c r="Z8" s="658" t="str">
        <f t="shared" si="8"/>
        <v/>
      </c>
      <c r="AA8" s="658" t="str">
        <f t="shared" si="8"/>
        <v/>
      </c>
      <c r="AB8" s="658" t="str">
        <f t="shared" si="8"/>
        <v/>
      </c>
      <c r="AC8" s="658" t="str">
        <f t="shared" si="8"/>
        <v/>
      </c>
      <c r="AD8" s="658" t="str">
        <f t="shared" si="8"/>
        <v/>
      </c>
      <c r="AE8" s="658" t="str">
        <f t="shared" si="8"/>
        <v/>
      </c>
      <c r="AF8" s="658" t="str">
        <f t="shared" si="8"/>
        <v/>
      </c>
      <c r="AG8" s="659" t="str">
        <f t="shared" si="8"/>
        <v/>
      </c>
      <c r="AH8" s="657" t="str">
        <f>IF(AH$5&lt;&gt;"",D8,"")</f>
        <v/>
      </c>
      <c r="AI8" s="658" t="str">
        <f t="shared" ref="AI8:AQ8" si="9">IF(AI$5&lt;&gt;"",E8,"")</f>
        <v/>
      </c>
      <c r="AJ8" s="658" t="str">
        <f t="shared" si="9"/>
        <v/>
      </c>
      <c r="AK8" s="658" t="str">
        <f t="shared" si="9"/>
        <v/>
      </c>
      <c r="AL8" s="658" t="str">
        <f t="shared" si="9"/>
        <v/>
      </c>
      <c r="AM8" s="658" t="str">
        <f t="shared" si="9"/>
        <v/>
      </c>
      <c r="AN8" s="658" t="str">
        <f t="shared" si="9"/>
        <v/>
      </c>
      <c r="AO8" s="658" t="str">
        <f t="shared" si="9"/>
        <v/>
      </c>
      <c r="AP8" s="658" t="str">
        <f t="shared" si="9"/>
        <v/>
      </c>
      <c r="AQ8" s="659" t="str">
        <f t="shared" si="9"/>
        <v/>
      </c>
      <c r="AR8" s="657" t="str">
        <f>IF(AR$5&lt;&gt;"",D8,"")</f>
        <v/>
      </c>
      <c r="AS8" s="918" t="str">
        <f>IF(AS$5&lt;&gt;"",E8,"")</f>
        <v/>
      </c>
      <c r="AT8" s="912" t="str">
        <f t="shared" ref="AS8:BA13" si="10">IF(AT$5&lt;&gt;"",F8,"")</f>
        <v/>
      </c>
      <c r="AU8" s="912" t="str">
        <f t="shared" si="10"/>
        <v/>
      </c>
      <c r="AV8" s="912" t="str">
        <f t="shared" si="10"/>
        <v/>
      </c>
      <c r="AW8" s="912" t="str">
        <f t="shared" si="10"/>
        <v/>
      </c>
      <c r="AX8" s="912" t="str">
        <f t="shared" si="10"/>
        <v/>
      </c>
      <c r="AY8" s="912" t="str">
        <f>IF(AY$5&lt;&gt;"",K8,"")</f>
        <v/>
      </c>
      <c r="AZ8" s="912" t="str">
        <f t="shared" si="10"/>
        <v/>
      </c>
      <c r="BA8" s="914" t="str">
        <f t="shared" si="10"/>
        <v/>
      </c>
      <c r="BB8" s="657" t="str">
        <f>IF(BB$5&lt;&gt;"",D8,"")</f>
        <v/>
      </c>
      <c r="BC8" s="658" t="str">
        <f t="shared" ref="BC8:BK8" si="11">IF(BC$5&lt;&gt;"",E8,"")</f>
        <v/>
      </c>
      <c r="BD8" s="658" t="str">
        <f t="shared" si="11"/>
        <v/>
      </c>
      <c r="BE8" s="658" t="str">
        <f t="shared" si="11"/>
        <v/>
      </c>
      <c r="BF8" s="658" t="str">
        <f t="shared" si="11"/>
        <v/>
      </c>
      <c r="BG8" s="658" t="str">
        <f t="shared" si="11"/>
        <v/>
      </c>
      <c r="BH8" s="658" t="str">
        <f t="shared" si="11"/>
        <v/>
      </c>
      <c r="BI8" s="658" t="str">
        <f t="shared" si="11"/>
        <v/>
      </c>
      <c r="BJ8" s="658" t="str">
        <f t="shared" si="11"/>
        <v/>
      </c>
      <c r="BK8" s="659" t="str">
        <f t="shared" si="11"/>
        <v/>
      </c>
      <c r="BL8" s="657" t="str">
        <f>IF(BL$5&lt;&gt;"",D8,"")</f>
        <v/>
      </c>
      <c r="BM8" s="658" t="str">
        <f t="shared" ref="BM8:BU8" si="12">IF(BM$5&lt;&gt;"",E8,"")</f>
        <v/>
      </c>
      <c r="BN8" s="658" t="str">
        <f t="shared" si="12"/>
        <v/>
      </c>
      <c r="BO8" s="658" t="str">
        <f t="shared" si="12"/>
        <v/>
      </c>
      <c r="BP8" s="658" t="str">
        <f t="shared" si="12"/>
        <v/>
      </c>
      <c r="BQ8" s="658" t="str">
        <f t="shared" si="12"/>
        <v/>
      </c>
      <c r="BR8" s="658" t="str">
        <f t="shared" si="12"/>
        <v/>
      </c>
      <c r="BS8" s="658" t="str">
        <f t="shared" si="12"/>
        <v/>
      </c>
      <c r="BT8" s="658" t="str">
        <f t="shared" si="12"/>
        <v/>
      </c>
      <c r="BU8" s="659" t="str">
        <f t="shared" si="12"/>
        <v/>
      </c>
      <c r="BV8" s="657" t="str">
        <f>IF(BV$5&lt;&gt;"",D8,"")</f>
        <v/>
      </c>
      <c r="BW8" s="658" t="str">
        <f t="shared" ref="BW8:CE8" si="13">IF(BW$5&lt;&gt;"",E8,"")</f>
        <v/>
      </c>
      <c r="BX8" s="658" t="str">
        <f t="shared" si="13"/>
        <v/>
      </c>
      <c r="BY8" s="658" t="str">
        <f t="shared" si="13"/>
        <v/>
      </c>
      <c r="BZ8" s="658" t="str">
        <f t="shared" si="13"/>
        <v/>
      </c>
      <c r="CA8" s="658" t="str">
        <f t="shared" si="13"/>
        <v/>
      </c>
      <c r="CB8" s="658" t="str">
        <f t="shared" si="13"/>
        <v/>
      </c>
      <c r="CC8" s="658" t="str">
        <f t="shared" si="13"/>
        <v/>
      </c>
      <c r="CD8" s="658" t="str">
        <f t="shared" si="13"/>
        <v/>
      </c>
      <c r="CE8" s="659" t="str">
        <f t="shared" si="13"/>
        <v/>
      </c>
    </row>
    <row r="9" spans="1:83" s="57" customFormat="1" ht="14.25" customHeight="1">
      <c r="A9" s="672" t="s">
        <v>554</v>
      </c>
      <c r="B9" s="673" t="s">
        <v>614</v>
      </c>
      <c r="C9" s="674" t="s">
        <v>397</v>
      </c>
      <c r="D9" s="675" t="str">
        <f>IF(D$5&lt;&gt;"",IF(D$6&lt;&gt;"-",SUMIF(Parameter!$C$158:$J$158,D$6,Parameter!$C159:$K159),SUMIF(Parameter!$C$157:$J$157,D$5,Parameter!$C159:$K159)),"")</f>
        <v/>
      </c>
      <c r="E9" s="676" t="str">
        <f>IF(E$5&lt;&gt;"",IF(E$6&lt;&gt;"-",SUMIF(Parameter!$C$158:$J$158,E$6,Parameter!$C159:$K159),SUMIF(Parameter!$C$157:$J$157,E$5,Parameter!$C159:$K159)),"")</f>
        <v/>
      </c>
      <c r="F9" s="676" t="str">
        <f>IF(F$5&lt;&gt;"",IF(F$6&lt;&gt;"-",SUMIF(Parameter!$C$158:$J$158,F$6,Parameter!$C159:$K159),SUMIF(Parameter!$C$157:$J$157,F$5,Parameter!$C159:$K159)),"")</f>
        <v/>
      </c>
      <c r="G9" s="676" t="str">
        <f>IF(G$5&lt;&gt;"",IF(G$6&lt;&gt;"-",SUMIF(Parameter!$C$158:$J$158,G$6,Parameter!$C159:$K159),SUMIF(Parameter!$C$157:$J$157,G$5,Parameter!$C159:$K159)),"")</f>
        <v/>
      </c>
      <c r="H9" s="676" t="str">
        <f>IF(H$5&lt;&gt;"",IF(H$6&lt;&gt;"-",SUMIF(Parameter!$C$158:$J$158,H$6,Parameter!$C159:$K159),SUMIF(Parameter!$C$157:$J$157,H$5,Parameter!$C159:$K159)),"")</f>
        <v/>
      </c>
      <c r="I9" s="676" t="str">
        <f>IF(I$5&lt;&gt;"",IF(I$6&lt;&gt;"-",SUMIF(Parameter!$C$158:$J$158,I$6,Parameter!$C159:$K159),SUMIF(Parameter!$C$157:$J$157,I$5,Parameter!$C159:$K159)),"")</f>
        <v/>
      </c>
      <c r="J9" s="676" t="str">
        <f>IF(J$5&lt;&gt;"",IF(J$6&lt;&gt;"-",SUMIF(Parameter!$C$158:$J$158,J$6,Parameter!$C159:$K159),SUMIF(Parameter!$C$157:$J$157,J$5,Parameter!$C159:$K159)),"")</f>
        <v/>
      </c>
      <c r="K9" s="676" t="str">
        <f>IF(K$5&lt;&gt;"",IF(K$6&lt;&gt;"-",SUMIF(Parameter!$C$158:$J$158,K$6,Parameter!$C159:$K159),SUMIF(Parameter!$C$157:$J$157,K$5,Parameter!$C159:$K159)),"")</f>
        <v/>
      </c>
      <c r="L9" s="676" t="str">
        <f>IF(L$5&lt;&gt;"",IF(L$6&lt;&gt;"-",SUMIF(Parameter!$C$158:$J$158,L$6,Parameter!$C159:$K159),SUMIF(Parameter!$C$157:$J$157,L$5,Parameter!$C159:$K159)),"")</f>
        <v/>
      </c>
      <c r="M9" s="677" t="str">
        <f>IF(M$5&lt;&gt;"",IF(M$6&lt;&gt;"-",SUMIF(Parameter!$C$158:$J$158,M$6,Parameter!$C159:$K159),SUMIF(Parameter!$C$157:$J$157,M$5,Parameter!$C159:$K159)),"")</f>
        <v/>
      </c>
      <c r="N9" s="675" t="str">
        <f t="shared" ref="N9:N13" si="14">IF(N$5&lt;&gt;"",D9,"")</f>
        <v/>
      </c>
      <c r="O9" s="676" t="str">
        <f t="shared" ref="O9:O13" si="15">IF(O$5&lt;&gt;"",E9,"")</f>
        <v/>
      </c>
      <c r="P9" s="676" t="str">
        <f t="shared" ref="P9:P13" si="16">IF(P$5&lt;&gt;"",F9,"")</f>
        <v/>
      </c>
      <c r="Q9" s="676" t="str">
        <f t="shared" ref="Q9:Q13" si="17">IF(Q$5&lt;&gt;"",G9,"")</f>
        <v/>
      </c>
      <c r="R9" s="676" t="str">
        <f t="shared" ref="R9:R13" si="18">IF(R$5&lt;&gt;"",H9,"")</f>
        <v/>
      </c>
      <c r="S9" s="676" t="str">
        <f t="shared" ref="S9:S13" si="19">IF(S$5&lt;&gt;"",I9,"")</f>
        <v/>
      </c>
      <c r="T9" s="676" t="str">
        <f t="shared" ref="T9:T13" si="20">IF(T$5&lt;&gt;"",J9,"")</f>
        <v/>
      </c>
      <c r="U9" s="676" t="str">
        <f t="shared" ref="U9:U13" si="21">IF(U$5&lt;&gt;"",K9,"")</f>
        <v/>
      </c>
      <c r="V9" s="676" t="str">
        <f t="shared" ref="V9:V13" si="22">IF(V$5&lt;&gt;"",L9,"")</f>
        <v/>
      </c>
      <c r="W9" s="677" t="str">
        <f t="shared" ref="W9:W13" si="23">IF(W$5&lt;&gt;"",M9,"")</f>
        <v/>
      </c>
      <c r="X9" s="675" t="str">
        <f t="shared" ref="X9:X13" si="24">IF(X$5&lt;&gt;"",D9,"")</f>
        <v/>
      </c>
      <c r="Y9" s="676" t="str">
        <f t="shared" ref="Y9:Y13" si="25">IF(Y$5&lt;&gt;"",E9,"")</f>
        <v/>
      </c>
      <c r="Z9" s="676" t="str">
        <f t="shared" ref="Z9:Z13" si="26">IF(Z$5&lt;&gt;"",F9,"")</f>
        <v/>
      </c>
      <c r="AA9" s="676" t="str">
        <f t="shared" ref="AA9:AA13" si="27">IF(AA$5&lt;&gt;"",G9,"")</f>
        <v/>
      </c>
      <c r="AB9" s="676" t="str">
        <f t="shared" ref="AB9:AB13" si="28">IF(AB$5&lt;&gt;"",H9,"")</f>
        <v/>
      </c>
      <c r="AC9" s="676" t="str">
        <f t="shared" ref="AC9:AC13" si="29">IF(AC$5&lt;&gt;"",I9,"")</f>
        <v/>
      </c>
      <c r="AD9" s="676" t="str">
        <f t="shared" ref="AD9:AD13" si="30">IF(AD$5&lt;&gt;"",J9,"")</f>
        <v/>
      </c>
      <c r="AE9" s="676" t="str">
        <f t="shared" ref="AE9:AE13" si="31">IF(AE$5&lt;&gt;"",K9,"")</f>
        <v/>
      </c>
      <c r="AF9" s="676" t="str">
        <f t="shared" ref="AF9:AF13" si="32">IF(AF$5&lt;&gt;"",L9,"")</f>
        <v/>
      </c>
      <c r="AG9" s="677" t="str">
        <f t="shared" ref="AG9:AG13" si="33">IF(AG$5&lt;&gt;"",M9,"")</f>
        <v/>
      </c>
      <c r="AH9" s="675" t="str">
        <f t="shared" ref="AH9:AH13" si="34">IF(AH$5&lt;&gt;"",D9,"")</f>
        <v/>
      </c>
      <c r="AI9" s="676" t="str">
        <f t="shared" ref="AI9:AI13" si="35">IF(AI$5&lt;&gt;"",E9,"")</f>
        <v/>
      </c>
      <c r="AJ9" s="676" t="str">
        <f t="shared" ref="AJ9:AJ13" si="36">IF(AJ$5&lt;&gt;"",F9,"")</f>
        <v/>
      </c>
      <c r="AK9" s="676" t="str">
        <f t="shared" ref="AK9:AK13" si="37">IF(AK$5&lt;&gt;"",G9,"")</f>
        <v/>
      </c>
      <c r="AL9" s="676" t="str">
        <f t="shared" ref="AL9:AL13" si="38">IF(AL$5&lt;&gt;"",H9,"")</f>
        <v/>
      </c>
      <c r="AM9" s="676" t="str">
        <f t="shared" ref="AM9:AM13" si="39">IF(AM$5&lt;&gt;"",I9,"")</f>
        <v/>
      </c>
      <c r="AN9" s="676" t="str">
        <f t="shared" ref="AN9:AN13" si="40">IF(AN$5&lt;&gt;"",J9,"")</f>
        <v/>
      </c>
      <c r="AO9" s="676" t="str">
        <f t="shared" ref="AO9:AO13" si="41">IF(AO$5&lt;&gt;"",K9,"")</f>
        <v/>
      </c>
      <c r="AP9" s="676" t="str">
        <f t="shared" ref="AP9:AP13" si="42">IF(AP$5&lt;&gt;"",L9,"")</f>
        <v/>
      </c>
      <c r="AQ9" s="677" t="str">
        <f t="shared" ref="AQ9:AQ13" si="43">IF(AQ$5&lt;&gt;"",M9,"")</f>
        <v/>
      </c>
      <c r="AR9" s="675" t="str">
        <f>IF(AR$5&lt;&gt;"",D9,"")</f>
        <v/>
      </c>
      <c r="AS9" s="919" t="str">
        <f t="shared" si="10"/>
        <v/>
      </c>
      <c r="AT9" s="912" t="str">
        <f t="shared" si="10"/>
        <v/>
      </c>
      <c r="AU9" s="912" t="str">
        <f t="shared" si="10"/>
        <v/>
      </c>
      <c r="AV9" s="912" t="str">
        <f t="shared" si="10"/>
        <v/>
      </c>
      <c r="AW9" s="912" t="str">
        <f t="shared" si="10"/>
        <v/>
      </c>
      <c r="AX9" s="912" t="str">
        <f t="shared" si="10"/>
        <v/>
      </c>
      <c r="AY9" s="912" t="str">
        <f>IF(AY$5&lt;&gt;"",K9,"")</f>
        <v/>
      </c>
      <c r="AZ9" s="912" t="str">
        <f t="shared" si="10"/>
        <v/>
      </c>
      <c r="BA9" s="915" t="str">
        <f t="shared" si="10"/>
        <v/>
      </c>
      <c r="BB9" s="675" t="str">
        <f t="shared" ref="BB9:BB13" si="44">IF(BB$5&lt;&gt;"",D9,"")</f>
        <v/>
      </c>
      <c r="BC9" s="676" t="str">
        <f t="shared" ref="BC9:BC13" si="45">IF(BC$5&lt;&gt;"",E9,"")</f>
        <v/>
      </c>
      <c r="BD9" s="676" t="str">
        <f t="shared" ref="BD9:BD13" si="46">IF(BD$5&lt;&gt;"",F9,"")</f>
        <v/>
      </c>
      <c r="BE9" s="676" t="str">
        <f t="shared" ref="BE9:BE13" si="47">IF(BE$5&lt;&gt;"",G9,"")</f>
        <v/>
      </c>
      <c r="BF9" s="676" t="str">
        <f t="shared" ref="BF9:BF13" si="48">IF(BF$5&lt;&gt;"",H9,"")</f>
        <v/>
      </c>
      <c r="BG9" s="676" t="str">
        <f t="shared" ref="BG9:BG13" si="49">IF(BG$5&lt;&gt;"",I9,"")</f>
        <v/>
      </c>
      <c r="BH9" s="676" t="str">
        <f t="shared" ref="BH9:BH13" si="50">IF(BH$5&lt;&gt;"",J9,"")</f>
        <v/>
      </c>
      <c r="BI9" s="676" t="str">
        <f t="shared" ref="BI9:BI13" si="51">IF(BI$5&lt;&gt;"",K9,"")</f>
        <v/>
      </c>
      <c r="BJ9" s="676" t="str">
        <f t="shared" ref="BJ9:BJ13" si="52">IF(BJ$5&lt;&gt;"",L9,"")</f>
        <v/>
      </c>
      <c r="BK9" s="677" t="str">
        <f t="shared" ref="BK9:BK13" si="53">IF(BK$5&lt;&gt;"",M9,"")</f>
        <v/>
      </c>
      <c r="BL9" s="675" t="str">
        <f t="shared" ref="BL9:BL13" si="54">IF(BL$5&lt;&gt;"",D9,"")</f>
        <v/>
      </c>
      <c r="BM9" s="676" t="str">
        <f t="shared" ref="BM9:BM13" si="55">IF(BM$5&lt;&gt;"",E9,"")</f>
        <v/>
      </c>
      <c r="BN9" s="676" t="str">
        <f t="shared" ref="BN9:BN13" si="56">IF(BN$5&lt;&gt;"",F9,"")</f>
        <v/>
      </c>
      <c r="BO9" s="676" t="str">
        <f t="shared" ref="BO9:BO13" si="57">IF(BO$5&lt;&gt;"",G9,"")</f>
        <v/>
      </c>
      <c r="BP9" s="676" t="str">
        <f t="shared" ref="BP9:BP13" si="58">IF(BP$5&lt;&gt;"",H9,"")</f>
        <v/>
      </c>
      <c r="BQ9" s="676" t="str">
        <f t="shared" ref="BQ9:BQ13" si="59">IF(BQ$5&lt;&gt;"",I9,"")</f>
        <v/>
      </c>
      <c r="BR9" s="676" t="str">
        <f t="shared" ref="BR9:BR13" si="60">IF(BR$5&lt;&gt;"",J9,"")</f>
        <v/>
      </c>
      <c r="BS9" s="676" t="str">
        <f t="shared" ref="BS9:BS13" si="61">IF(BS$5&lt;&gt;"",K9,"")</f>
        <v/>
      </c>
      <c r="BT9" s="676" t="str">
        <f t="shared" ref="BT9:BT13" si="62">IF(BT$5&lt;&gt;"",L9,"")</f>
        <v/>
      </c>
      <c r="BU9" s="677" t="str">
        <f t="shared" ref="BU9:BU13" si="63">IF(BU$5&lt;&gt;"",M9,"")</f>
        <v/>
      </c>
      <c r="BV9" s="675" t="str">
        <f t="shared" ref="BV9:BV13" si="64">IF(BV$5&lt;&gt;"",D9,"")</f>
        <v/>
      </c>
      <c r="BW9" s="676" t="str">
        <f t="shared" ref="BW9:BW13" si="65">IF(BW$5&lt;&gt;"",E9,"")</f>
        <v/>
      </c>
      <c r="BX9" s="676" t="str">
        <f t="shared" ref="BX9:BX13" si="66">IF(BX$5&lt;&gt;"",F9,"")</f>
        <v/>
      </c>
      <c r="BY9" s="676" t="str">
        <f t="shared" ref="BY9:BY13" si="67">IF(BY$5&lt;&gt;"",G9,"")</f>
        <v/>
      </c>
      <c r="BZ9" s="676" t="str">
        <f t="shared" ref="BZ9:BZ13" si="68">IF(BZ$5&lt;&gt;"",H9,"")</f>
        <v/>
      </c>
      <c r="CA9" s="676" t="str">
        <f t="shared" ref="CA9:CA13" si="69">IF(CA$5&lt;&gt;"",I9,"")</f>
        <v/>
      </c>
      <c r="CB9" s="676" t="str">
        <f t="shared" ref="CB9:CB13" si="70">IF(CB$5&lt;&gt;"",J9,"")</f>
        <v/>
      </c>
      <c r="CC9" s="676" t="str">
        <f t="shared" ref="CC9:CC13" si="71">IF(CC$5&lt;&gt;"",K9,"")</f>
        <v/>
      </c>
      <c r="CD9" s="676" t="str">
        <f t="shared" ref="CD9:CD13" si="72">IF(CD$5&lt;&gt;"",L9,"")</f>
        <v/>
      </c>
      <c r="CE9" s="677" t="str">
        <f t="shared" ref="CE9:CE13" si="73">IF(CE$5&lt;&gt;"",M9,"")</f>
        <v/>
      </c>
    </row>
    <row r="10" spans="1:83" s="57" customFormat="1" ht="14.25" customHeight="1">
      <c r="A10" s="672" t="s">
        <v>555</v>
      </c>
      <c r="B10" s="673" t="s">
        <v>615</v>
      </c>
      <c r="C10" s="674" t="s">
        <v>62</v>
      </c>
      <c r="D10" s="675" t="str">
        <f>IF(D$5&lt;&gt;"",IF(D$6&lt;&gt;"-",SUMIF(Parameter!$C$158:$J$158,D$6,Parameter!$C160:$K160),SUMIF(Parameter!$C$157:$J$157,D$5,Parameter!$C160:$K160)),"")</f>
        <v/>
      </c>
      <c r="E10" s="676" t="str">
        <f>IF(E$5&lt;&gt;"",IF(E$6&lt;&gt;"-",SUMIF(Parameter!$C$158:$J$158,E$6,Parameter!$C160:$K160),SUMIF(Parameter!$C$157:$J$157,E$5,Parameter!$C160:$K160)),"")</f>
        <v/>
      </c>
      <c r="F10" s="676" t="str">
        <f>IF(F$5&lt;&gt;"",IF(F$6&lt;&gt;"-",SUMIF(Parameter!$C$158:$J$158,F$6,Parameter!$C160:$K160),SUMIF(Parameter!$C$157:$J$157,F$5,Parameter!$C160:$K160)),"")</f>
        <v/>
      </c>
      <c r="G10" s="676" t="str">
        <f>IF(G$5&lt;&gt;"",IF(G$6&lt;&gt;"-",SUMIF(Parameter!$C$158:$J$158,G$6,Parameter!$C160:$K160),SUMIF(Parameter!$C$157:$J$157,G$5,Parameter!$C160:$K160)),"")</f>
        <v/>
      </c>
      <c r="H10" s="676" t="str">
        <f>IF(H$5&lt;&gt;"",IF(H$6&lt;&gt;"-",SUMIF(Parameter!$C$158:$J$158,H$6,Parameter!$C160:$K160),SUMIF(Parameter!$C$157:$J$157,H$5,Parameter!$C160:$K160)),"")</f>
        <v/>
      </c>
      <c r="I10" s="676" t="str">
        <f>IF(I$5&lt;&gt;"",IF(I$6&lt;&gt;"-",SUMIF(Parameter!$C$158:$J$158,I$6,Parameter!$C160:$K160),SUMIF(Parameter!$C$157:$J$157,I$5,Parameter!$C160:$K160)),"")</f>
        <v/>
      </c>
      <c r="J10" s="676" t="str">
        <f>IF(J$5&lt;&gt;"",IF(J$6&lt;&gt;"-",SUMIF(Parameter!$C$158:$J$158,J$6,Parameter!$C160:$K160),SUMIF(Parameter!$C$157:$J$157,J$5,Parameter!$C160:$K160)),"")</f>
        <v/>
      </c>
      <c r="K10" s="676" t="str">
        <f>IF(K$5&lt;&gt;"",IF(K$6&lt;&gt;"-",SUMIF(Parameter!$C$158:$J$158,K$6,Parameter!$C160:$K160),SUMIF(Parameter!$C$157:$J$157,K$5,Parameter!$C160:$K160)),"")</f>
        <v/>
      </c>
      <c r="L10" s="676" t="str">
        <f>IF(L$5&lt;&gt;"",IF(L$6&lt;&gt;"-",SUMIF(Parameter!$C$158:$J$158,L$6,Parameter!$C160:$K160),SUMIF(Parameter!$C$157:$J$157,L$5,Parameter!$C160:$K160)),"")</f>
        <v/>
      </c>
      <c r="M10" s="677" t="str">
        <f>IF(M$5&lt;&gt;"",IF(M$6&lt;&gt;"-",SUMIF(Parameter!$C$158:$J$158,M$6,Parameter!$C160:$K160),SUMIF(Parameter!$C$157:$J$157,M$5,Parameter!$C160:$K160)),"")</f>
        <v/>
      </c>
      <c r="N10" s="675" t="str">
        <f t="shared" si="14"/>
        <v/>
      </c>
      <c r="O10" s="676" t="str">
        <f t="shared" si="15"/>
        <v/>
      </c>
      <c r="P10" s="676" t="str">
        <f t="shared" si="16"/>
        <v/>
      </c>
      <c r="Q10" s="676" t="str">
        <f t="shared" si="17"/>
        <v/>
      </c>
      <c r="R10" s="676" t="str">
        <f t="shared" si="18"/>
        <v/>
      </c>
      <c r="S10" s="676" t="str">
        <f t="shared" si="19"/>
        <v/>
      </c>
      <c r="T10" s="676" t="str">
        <f t="shared" si="20"/>
        <v/>
      </c>
      <c r="U10" s="676" t="str">
        <f t="shared" si="21"/>
        <v/>
      </c>
      <c r="V10" s="676" t="str">
        <f t="shared" si="22"/>
        <v/>
      </c>
      <c r="W10" s="677" t="str">
        <f t="shared" si="23"/>
        <v/>
      </c>
      <c r="X10" s="675" t="str">
        <f t="shared" si="24"/>
        <v/>
      </c>
      <c r="Y10" s="676" t="str">
        <f t="shared" si="25"/>
        <v/>
      </c>
      <c r="Z10" s="676" t="str">
        <f t="shared" si="26"/>
        <v/>
      </c>
      <c r="AA10" s="676" t="str">
        <f t="shared" si="27"/>
        <v/>
      </c>
      <c r="AB10" s="676" t="str">
        <f t="shared" si="28"/>
        <v/>
      </c>
      <c r="AC10" s="676" t="str">
        <f t="shared" si="29"/>
        <v/>
      </c>
      <c r="AD10" s="676" t="str">
        <f t="shared" si="30"/>
        <v/>
      </c>
      <c r="AE10" s="676" t="str">
        <f t="shared" si="31"/>
        <v/>
      </c>
      <c r="AF10" s="676" t="str">
        <f t="shared" si="32"/>
        <v/>
      </c>
      <c r="AG10" s="677" t="str">
        <f t="shared" si="33"/>
        <v/>
      </c>
      <c r="AH10" s="675" t="str">
        <f t="shared" si="34"/>
        <v/>
      </c>
      <c r="AI10" s="676" t="str">
        <f t="shared" si="35"/>
        <v/>
      </c>
      <c r="AJ10" s="676" t="str">
        <f t="shared" si="36"/>
        <v/>
      </c>
      <c r="AK10" s="676" t="str">
        <f t="shared" si="37"/>
        <v/>
      </c>
      <c r="AL10" s="676" t="str">
        <f t="shared" si="38"/>
        <v/>
      </c>
      <c r="AM10" s="676" t="str">
        <f t="shared" si="39"/>
        <v/>
      </c>
      <c r="AN10" s="676" t="str">
        <f t="shared" si="40"/>
        <v/>
      </c>
      <c r="AO10" s="676" t="str">
        <f t="shared" si="41"/>
        <v/>
      </c>
      <c r="AP10" s="676" t="str">
        <f t="shared" si="42"/>
        <v/>
      </c>
      <c r="AQ10" s="677" t="str">
        <f t="shared" si="43"/>
        <v/>
      </c>
      <c r="AR10" s="675" t="str">
        <f>IF(AR$5&lt;&gt;"",D10,"")</f>
        <v/>
      </c>
      <c r="AS10" s="919" t="str">
        <f t="shared" si="10"/>
        <v/>
      </c>
      <c r="AT10" s="912" t="str">
        <f t="shared" si="10"/>
        <v/>
      </c>
      <c r="AU10" s="912" t="str">
        <f t="shared" si="10"/>
        <v/>
      </c>
      <c r="AV10" s="912" t="str">
        <f t="shared" si="10"/>
        <v/>
      </c>
      <c r="AW10" s="912" t="str">
        <f t="shared" si="10"/>
        <v/>
      </c>
      <c r="AX10" s="912" t="str">
        <f t="shared" si="10"/>
        <v/>
      </c>
      <c r="AY10" s="912" t="str">
        <f>IF(AY$5&lt;&gt;"",K10,"")</f>
        <v/>
      </c>
      <c r="AZ10" s="912" t="str">
        <f t="shared" si="10"/>
        <v/>
      </c>
      <c r="BA10" s="915" t="str">
        <f t="shared" si="10"/>
        <v/>
      </c>
      <c r="BB10" s="675" t="str">
        <f t="shared" si="44"/>
        <v/>
      </c>
      <c r="BC10" s="676" t="str">
        <f t="shared" si="45"/>
        <v/>
      </c>
      <c r="BD10" s="676" t="str">
        <f t="shared" si="46"/>
        <v/>
      </c>
      <c r="BE10" s="676" t="str">
        <f t="shared" si="47"/>
        <v/>
      </c>
      <c r="BF10" s="676" t="str">
        <f t="shared" si="48"/>
        <v/>
      </c>
      <c r="BG10" s="676" t="str">
        <f t="shared" si="49"/>
        <v/>
      </c>
      <c r="BH10" s="676" t="str">
        <f t="shared" si="50"/>
        <v/>
      </c>
      <c r="BI10" s="676" t="str">
        <f t="shared" si="51"/>
        <v/>
      </c>
      <c r="BJ10" s="676" t="str">
        <f t="shared" si="52"/>
        <v/>
      </c>
      <c r="BK10" s="677" t="str">
        <f t="shared" si="53"/>
        <v/>
      </c>
      <c r="BL10" s="675" t="str">
        <f t="shared" si="54"/>
        <v/>
      </c>
      <c r="BM10" s="676" t="str">
        <f t="shared" si="55"/>
        <v/>
      </c>
      <c r="BN10" s="676" t="str">
        <f t="shared" si="56"/>
        <v/>
      </c>
      <c r="BO10" s="676" t="str">
        <f t="shared" si="57"/>
        <v/>
      </c>
      <c r="BP10" s="676" t="str">
        <f t="shared" si="58"/>
        <v/>
      </c>
      <c r="BQ10" s="676" t="str">
        <f t="shared" si="59"/>
        <v/>
      </c>
      <c r="BR10" s="676" t="str">
        <f t="shared" si="60"/>
        <v/>
      </c>
      <c r="BS10" s="676" t="str">
        <f t="shared" si="61"/>
        <v/>
      </c>
      <c r="BT10" s="676" t="str">
        <f t="shared" si="62"/>
        <v/>
      </c>
      <c r="BU10" s="677" t="str">
        <f t="shared" si="63"/>
        <v/>
      </c>
      <c r="BV10" s="675" t="str">
        <f t="shared" si="64"/>
        <v/>
      </c>
      <c r="BW10" s="676" t="str">
        <f t="shared" si="65"/>
        <v/>
      </c>
      <c r="BX10" s="676" t="str">
        <f t="shared" si="66"/>
        <v/>
      </c>
      <c r="BY10" s="676" t="str">
        <f t="shared" si="67"/>
        <v/>
      </c>
      <c r="BZ10" s="676" t="str">
        <f t="shared" si="68"/>
        <v/>
      </c>
      <c r="CA10" s="676" t="str">
        <f t="shared" si="69"/>
        <v/>
      </c>
      <c r="CB10" s="676" t="str">
        <f t="shared" si="70"/>
        <v/>
      </c>
      <c r="CC10" s="676" t="str">
        <f t="shared" si="71"/>
        <v/>
      </c>
      <c r="CD10" s="676" t="str">
        <f t="shared" si="72"/>
        <v/>
      </c>
      <c r="CE10" s="677" t="str">
        <f t="shared" si="73"/>
        <v/>
      </c>
    </row>
    <row r="11" spans="1:83" s="637" customFormat="1" ht="14.25" customHeight="1">
      <c r="A11" s="678" t="s">
        <v>556</v>
      </c>
      <c r="B11" s="679" t="s">
        <v>616</v>
      </c>
      <c r="C11" s="680" t="s">
        <v>5</v>
      </c>
      <c r="D11" s="681" t="str">
        <f>IF(D$5&lt;&gt;"",IF(D$6&lt;&gt;"-",SUMIF(Parameter!$C$158:$J$158,D$6,Parameter!$C161:$K161),SUMIF(Parameter!$C$157:$J$157,D$5,Parameter!$C161:$K161)),"")</f>
        <v/>
      </c>
      <c r="E11" s="682" t="str">
        <f>IF(E$5&lt;&gt;"",IF(E$6&lt;&gt;"-",SUMIF(Parameter!$C$158:$J$158,E$6,Parameter!$C161:$K161),SUMIF(Parameter!$C$157:$J$157,E$5,Parameter!$C161:$K161)),"")</f>
        <v/>
      </c>
      <c r="F11" s="682" t="str">
        <f>IF(F$5&lt;&gt;"",IF(F$6&lt;&gt;"-",SUMIF(Parameter!$C$158:$J$158,F$6,Parameter!$C161:$K161),SUMIF(Parameter!$C$157:$J$157,F$5,Parameter!$C161:$K161)),"")</f>
        <v/>
      </c>
      <c r="G11" s="682" t="str">
        <f>IF(G$5&lt;&gt;"",IF(G$6&lt;&gt;"-",SUMIF(Parameter!$C$158:$J$158,G$6,Parameter!$C161:$K161),SUMIF(Parameter!$C$157:$J$157,G$5,Parameter!$C161:$K161)),"")</f>
        <v/>
      </c>
      <c r="H11" s="682" t="str">
        <f>IF(H$5&lt;&gt;"",IF(H$6&lt;&gt;"-",SUMIF(Parameter!$C$158:$J$158,H$6,Parameter!$C161:$K161),SUMIF(Parameter!$C$157:$J$157,H$5,Parameter!$C161:$K161)),"")</f>
        <v/>
      </c>
      <c r="I11" s="682" t="str">
        <f>IF(I$5&lt;&gt;"",IF(I$6&lt;&gt;"-",SUMIF(Parameter!$C$158:$J$158,I$6,Parameter!$C161:$K161),SUMIF(Parameter!$C$157:$J$157,I$5,Parameter!$C161:$K161)),"")</f>
        <v/>
      </c>
      <c r="J11" s="682" t="str">
        <f>IF(J$5&lt;&gt;"",IF(J$6&lt;&gt;"-",SUMIF(Parameter!$C$158:$J$158,J$6,Parameter!$C161:$K161),SUMIF(Parameter!$C$157:$J$157,J$5,Parameter!$C161:$K161)),"")</f>
        <v/>
      </c>
      <c r="K11" s="682" t="str">
        <f>IF(K$5&lt;&gt;"",IF(K$6&lt;&gt;"-",SUMIF(Parameter!$C$158:$J$158,K$6,Parameter!$C161:$K161),SUMIF(Parameter!$C$157:$J$157,K$5,Parameter!$C161:$K161)),"")</f>
        <v/>
      </c>
      <c r="L11" s="682" t="str">
        <f>IF(L$5&lt;&gt;"",IF(L$6&lt;&gt;"-",SUMIF(Parameter!$C$158:$J$158,L$6,Parameter!$C161:$K161),SUMIF(Parameter!$C$157:$J$157,L$5,Parameter!$C161:$K161)),"")</f>
        <v/>
      </c>
      <c r="M11" s="683" t="str">
        <f>IF(M$5&lt;&gt;"",IF(M$6&lt;&gt;"-",SUMIF(Parameter!$C$158:$J$158,M$6,Parameter!$C161:$K161),SUMIF(Parameter!$C$157:$J$157,M$5,Parameter!$C161:$K161)),"")</f>
        <v/>
      </c>
      <c r="N11" s="681" t="str">
        <f t="shared" si="14"/>
        <v/>
      </c>
      <c r="O11" s="682" t="str">
        <f t="shared" si="15"/>
        <v/>
      </c>
      <c r="P11" s="682" t="str">
        <f t="shared" si="16"/>
        <v/>
      </c>
      <c r="Q11" s="682" t="str">
        <f t="shared" si="17"/>
        <v/>
      </c>
      <c r="R11" s="682" t="str">
        <f t="shared" si="18"/>
        <v/>
      </c>
      <c r="S11" s="682" t="str">
        <f t="shared" si="19"/>
        <v/>
      </c>
      <c r="T11" s="682" t="str">
        <f t="shared" si="20"/>
        <v/>
      </c>
      <c r="U11" s="682" t="str">
        <f t="shared" si="21"/>
        <v/>
      </c>
      <c r="V11" s="682" t="str">
        <f t="shared" si="22"/>
        <v/>
      </c>
      <c r="W11" s="683" t="str">
        <f t="shared" si="23"/>
        <v/>
      </c>
      <c r="X11" s="681" t="str">
        <f t="shared" si="24"/>
        <v/>
      </c>
      <c r="Y11" s="682" t="str">
        <f t="shared" si="25"/>
        <v/>
      </c>
      <c r="Z11" s="682" t="str">
        <f t="shared" si="26"/>
        <v/>
      </c>
      <c r="AA11" s="682" t="str">
        <f t="shared" si="27"/>
        <v/>
      </c>
      <c r="AB11" s="682" t="str">
        <f t="shared" si="28"/>
        <v/>
      </c>
      <c r="AC11" s="682" t="str">
        <f t="shared" si="29"/>
        <v/>
      </c>
      <c r="AD11" s="682" t="str">
        <f t="shared" si="30"/>
        <v/>
      </c>
      <c r="AE11" s="682" t="str">
        <f t="shared" si="31"/>
        <v/>
      </c>
      <c r="AF11" s="682" t="str">
        <f t="shared" si="32"/>
        <v/>
      </c>
      <c r="AG11" s="683" t="str">
        <f t="shared" si="33"/>
        <v/>
      </c>
      <c r="AH11" s="681" t="str">
        <f t="shared" si="34"/>
        <v/>
      </c>
      <c r="AI11" s="682" t="str">
        <f t="shared" si="35"/>
        <v/>
      </c>
      <c r="AJ11" s="682" t="str">
        <f t="shared" si="36"/>
        <v/>
      </c>
      <c r="AK11" s="682" t="str">
        <f t="shared" si="37"/>
        <v/>
      </c>
      <c r="AL11" s="682" t="str">
        <f t="shared" si="38"/>
        <v/>
      </c>
      <c r="AM11" s="682" t="str">
        <f t="shared" si="39"/>
        <v/>
      </c>
      <c r="AN11" s="682" t="str">
        <f t="shared" si="40"/>
        <v/>
      </c>
      <c r="AO11" s="682" t="str">
        <f t="shared" si="41"/>
        <v/>
      </c>
      <c r="AP11" s="682" t="str">
        <f t="shared" si="42"/>
        <v/>
      </c>
      <c r="AQ11" s="683" t="str">
        <f t="shared" si="43"/>
        <v/>
      </c>
      <c r="AR11" s="681" t="str">
        <f>IF(AR$5&lt;&gt;"",D11,"")</f>
        <v/>
      </c>
      <c r="AS11" s="920" t="str">
        <f t="shared" si="10"/>
        <v/>
      </c>
      <c r="AT11" s="912" t="str">
        <f t="shared" si="10"/>
        <v/>
      </c>
      <c r="AU11" s="912" t="str">
        <f t="shared" si="10"/>
        <v/>
      </c>
      <c r="AV11" s="912" t="str">
        <f t="shared" si="10"/>
        <v/>
      </c>
      <c r="AW11" s="912" t="str">
        <f t="shared" si="10"/>
        <v/>
      </c>
      <c r="AX11" s="912" t="str">
        <f t="shared" si="10"/>
        <v/>
      </c>
      <c r="AY11" s="912" t="str">
        <f t="shared" si="10"/>
        <v/>
      </c>
      <c r="AZ11" s="912" t="str">
        <f t="shared" si="10"/>
        <v/>
      </c>
      <c r="BA11" s="916" t="str">
        <f t="shared" si="10"/>
        <v/>
      </c>
      <c r="BB11" s="681" t="str">
        <f t="shared" si="44"/>
        <v/>
      </c>
      <c r="BC11" s="682" t="str">
        <f t="shared" si="45"/>
        <v/>
      </c>
      <c r="BD11" s="682" t="str">
        <f t="shared" si="46"/>
        <v/>
      </c>
      <c r="BE11" s="682" t="str">
        <f t="shared" si="47"/>
        <v/>
      </c>
      <c r="BF11" s="682" t="str">
        <f t="shared" si="48"/>
        <v/>
      </c>
      <c r="BG11" s="682" t="str">
        <f t="shared" si="49"/>
        <v/>
      </c>
      <c r="BH11" s="682" t="str">
        <f t="shared" si="50"/>
        <v/>
      </c>
      <c r="BI11" s="682" t="str">
        <f t="shared" si="51"/>
        <v/>
      </c>
      <c r="BJ11" s="682" t="str">
        <f t="shared" si="52"/>
        <v/>
      </c>
      <c r="BK11" s="683" t="str">
        <f t="shared" si="53"/>
        <v/>
      </c>
      <c r="BL11" s="681" t="str">
        <f t="shared" si="54"/>
        <v/>
      </c>
      <c r="BM11" s="682" t="str">
        <f t="shared" si="55"/>
        <v/>
      </c>
      <c r="BN11" s="682" t="str">
        <f t="shared" si="56"/>
        <v/>
      </c>
      <c r="BO11" s="682" t="str">
        <f t="shared" si="57"/>
        <v/>
      </c>
      <c r="BP11" s="682" t="str">
        <f t="shared" si="58"/>
        <v/>
      </c>
      <c r="BQ11" s="682" t="str">
        <f t="shared" si="59"/>
        <v/>
      </c>
      <c r="BR11" s="682" t="str">
        <f t="shared" si="60"/>
        <v/>
      </c>
      <c r="BS11" s="682" t="str">
        <f t="shared" si="61"/>
        <v/>
      </c>
      <c r="BT11" s="682" t="str">
        <f t="shared" si="62"/>
        <v/>
      </c>
      <c r="BU11" s="683" t="str">
        <f t="shared" si="63"/>
        <v/>
      </c>
      <c r="BV11" s="681" t="str">
        <f t="shared" si="64"/>
        <v/>
      </c>
      <c r="BW11" s="682" t="str">
        <f t="shared" si="65"/>
        <v/>
      </c>
      <c r="BX11" s="682" t="str">
        <f t="shared" si="66"/>
        <v/>
      </c>
      <c r="BY11" s="682" t="str">
        <f t="shared" si="67"/>
        <v/>
      </c>
      <c r="BZ11" s="682" t="str">
        <f t="shared" si="68"/>
        <v/>
      </c>
      <c r="CA11" s="682" t="str">
        <f t="shared" si="69"/>
        <v/>
      </c>
      <c r="CB11" s="682" t="str">
        <f t="shared" si="70"/>
        <v/>
      </c>
      <c r="CC11" s="682" t="str">
        <f t="shared" si="71"/>
        <v/>
      </c>
      <c r="CD11" s="682" t="str">
        <f t="shared" si="72"/>
        <v/>
      </c>
      <c r="CE11" s="683" t="str">
        <f t="shared" si="73"/>
        <v/>
      </c>
    </row>
    <row r="12" spans="1:83" s="57" customFormat="1" ht="14.25" customHeight="1">
      <c r="A12" s="678" t="s">
        <v>557</v>
      </c>
      <c r="B12" s="673" t="s">
        <v>499</v>
      </c>
      <c r="C12" s="680" t="s">
        <v>558</v>
      </c>
      <c r="D12" s="684" t="str" cm="1">
        <f t="array" ref="D12">IF(D$5&lt;&gt;"",INDEX(Parameter!$I$174:$I$192,MATCH(1,COUNTIFS(D5,Parameter!$A$174:$A$192,D6,Parameter!$C$174:$C$192,D8,Parameter!$B$174:$B$192),0)),"")</f>
        <v/>
      </c>
      <c r="E12" s="872" t="str" cm="1">
        <f t="array" ref="E12">IF(E$5&lt;&gt;"",INDEX(Parameter!$I$174:$I$192,MATCH(1,COUNTIFS(E5,Parameter!$A$174:$A$192,E6,Parameter!$C$174:$C$192,E8,Parameter!$B$174:$B$192),0)),"")</f>
        <v/>
      </c>
      <c r="F12" s="685" t="str" cm="1">
        <f t="array" ref="F12">IF(F$5&lt;&gt;"",INDEX(Parameter!$I$174:$I$192,MATCH(1,COUNTIFS(F5,Parameter!$A$174:$A$192,F6,Parameter!$C$174:$C$192,F8,Parameter!$B$174:$B$192),0)),"")</f>
        <v/>
      </c>
      <c r="G12" s="685" t="str" cm="1">
        <f t="array" ref="G12">IF(G$5&lt;&gt;"",INDEX(Parameter!$I$174:$I$192,MATCH(1,COUNTIFS(G5,Parameter!$A$174:$A$192,G6,Parameter!$C$174:$C$192,G8,Parameter!$B$174:$B$192),0)),"")</f>
        <v/>
      </c>
      <c r="H12" s="685" t="str" cm="1">
        <f t="array" ref="H12">IF(H$5&lt;&gt;"",INDEX(Parameter!$I$174:$I$192,MATCH(1,COUNTIFS(H5,Parameter!$A$174:$A$192,H6,Parameter!$C$174:$C$192,H8,Parameter!$B$174:$B$192),0)),"")</f>
        <v/>
      </c>
      <c r="I12" s="685" t="str" cm="1">
        <f t="array" ref="I12">IF(I$5&lt;&gt;"",INDEX(Parameter!$I$174:$I$192,MATCH(1,COUNTIFS(I5,Parameter!$A$174:$A$192,I6,Parameter!$C$174:$C$192,I8,Parameter!$B$174:$B$192),0)),"")</f>
        <v/>
      </c>
      <c r="J12" s="685" t="str" cm="1">
        <f t="array" ref="J12">IF(J$5&lt;&gt;"",INDEX(Parameter!$I$174:$I$192,MATCH(1,COUNTIFS(J5,Parameter!$A$174:$A$192,J6,Parameter!$C$174:$C$192,J8,Parameter!$B$174:$B$192),0)),"")</f>
        <v/>
      </c>
      <c r="K12" s="685" t="str" cm="1">
        <f t="array" ref="K12">IF(K$5&lt;&gt;"",INDEX(Parameter!$I$174:$I$192,MATCH(1,COUNTIFS(K5,Parameter!$A$174:$A$192,K6,Parameter!$C$174:$C$192,K8,Parameter!$B$174:$B$192),0)),"")</f>
        <v/>
      </c>
      <c r="L12" s="685" t="str" cm="1">
        <f t="array" ref="L12">IF(L$5&lt;&gt;"",INDEX(Parameter!$I$174:$I$192,MATCH(1,COUNTIFS(L5,Parameter!$A$174:$A$192,L6,Parameter!$C$174:$C$192,L8,Parameter!$B$174:$B$192),0)),"")</f>
        <v/>
      </c>
      <c r="M12" s="686" t="str" cm="1">
        <f t="array" ref="M12">IF(M$5&lt;&gt;"",INDEX(Parameter!$I$174:$I$192,MATCH(1,COUNTIFS(M5,Parameter!$A$174:$A$192,M6,Parameter!$C$174:$C$192,M8,Parameter!$B$174:$B$192),0)),"")</f>
        <v/>
      </c>
      <c r="N12" s="684" t="str">
        <f t="shared" si="14"/>
        <v/>
      </c>
      <c r="O12" s="685" t="str">
        <f t="shared" si="15"/>
        <v/>
      </c>
      <c r="P12" s="685" t="str">
        <f t="shared" si="16"/>
        <v/>
      </c>
      <c r="Q12" s="685" t="str">
        <f t="shared" si="17"/>
        <v/>
      </c>
      <c r="R12" s="685" t="str">
        <f t="shared" si="18"/>
        <v/>
      </c>
      <c r="S12" s="685" t="str">
        <f t="shared" si="19"/>
        <v/>
      </c>
      <c r="T12" s="685" t="str">
        <f t="shared" si="20"/>
        <v/>
      </c>
      <c r="U12" s="685" t="str">
        <f t="shared" si="21"/>
        <v/>
      </c>
      <c r="V12" s="685" t="str">
        <f t="shared" si="22"/>
        <v/>
      </c>
      <c r="W12" s="686" t="str">
        <f t="shared" si="23"/>
        <v/>
      </c>
      <c r="X12" s="684" t="str">
        <f t="shared" si="24"/>
        <v/>
      </c>
      <c r="Y12" s="685" t="str">
        <f t="shared" si="25"/>
        <v/>
      </c>
      <c r="Z12" s="685" t="str">
        <f t="shared" si="26"/>
        <v/>
      </c>
      <c r="AA12" s="685" t="str">
        <f t="shared" si="27"/>
        <v/>
      </c>
      <c r="AB12" s="685" t="str">
        <f t="shared" si="28"/>
        <v/>
      </c>
      <c r="AC12" s="685" t="str">
        <f t="shared" si="29"/>
        <v/>
      </c>
      <c r="AD12" s="685" t="str">
        <f t="shared" si="30"/>
        <v/>
      </c>
      <c r="AE12" s="685" t="str">
        <f t="shared" si="31"/>
        <v/>
      </c>
      <c r="AF12" s="685" t="str">
        <f t="shared" si="32"/>
        <v/>
      </c>
      <c r="AG12" s="686" t="str">
        <f t="shared" si="33"/>
        <v/>
      </c>
      <c r="AH12" s="684" t="str">
        <f t="shared" si="34"/>
        <v/>
      </c>
      <c r="AI12" s="685" t="str">
        <f t="shared" si="35"/>
        <v/>
      </c>
      <c r="AJ12" s="685" t="str">
        <f t="shared" si="36"/>
        <v/>
      </c>
      <c r="AK12" s="685" t="str">
        <f t="shared" si="37"/>
        <v/>
      </c>
      <c r="AL12" s="685" t="str">
        <f t="shared" si="38"/>
        <v/>
      </c>
      <c r="AM12" s="685" t="str">
        <f t="shared" si="39"/>
        <v/>
      </c>
      <c r="AN12" s="685" t="str">
        <f t="shared" si="40"/>
        <v/>
      </c>
      <c r="AO12" s="685" t="str">
        <f t="shared" si="41"/>
        <v/>
      </c>
      <c r="AP12" s="685" t="str">
        <f t="shared" si="42"/>
        <v/>
      </c>
      <c r="AQ12" s="686" t="str">
        <f t="shared" si="43"/>
        <v/>
      </c>
      <c r="AR12" s="684" t="str">
        <f>IF(AR$5&lt;&gt;"",D12,"")</f>
        <v/>
      </c>
      <c r="AS12" s="921" t="str">
        <f t="shared" si="10"/>
        <v/>
      </c>
      <c r="AT12" s="912" t="str">
        <f t="shared" si="10"/>
        <v/>
      </c>
      <c r="AU12" s="912" t="str">
        <f t="shared" si="10"/>
        <v/>
      </c>
      <c r="AV12" s="912" t="str">
        <f t="shared" si="10"/>
        <v/>
      </c>
      <c r="AW12" s="912" t="str">
        <f t="shared" si="10"/>
        <v/>
      </c>
      <c r="AX12" s="912" t="str">
        <f t="shared" si="10"/>
        <v/>
      </c>
      <c r="AY12" s="912" t="str">
        <f t="shared" si="10"/>
        <v/>
      </c>
      <c r="AZ12" s="912" t="str">
        <f t="shared" si="10"/>
        <v/>
      </c>
      <c r="BA12" s="872" t="str">
        <f t="shared" si="10"/>
        <v/>
      </c>
      <c r="BB12" s="684" t="str">
        <f t="shared" si="44"/>
        <v/>
      </c>
      <c r="BC12" s="685" t="str">
        <f t="shared" si="45"/>
        <v/>
      </c>
      <c r="BD12" s="685" t="str">
        <f t="shared" si="46"/>
        <v/>
      </c>
      <c r="BE12" s="685" t="str">
        <f t="shared" si="47"/>
        <v/>
      </c>
      <c r="BF12" s="685" t="str">
        <f t="shared" si="48"/>
        <v/>
      </c>
      <c r="BG12" s="685" t="str">
        <f t="shared" si="49"/>
        <v/>
      </c>
      <c r="BH12" s="685" t="str">
        <f t="shared" si="50"/>
        <v/>
      </c>
      <c r="BI12" s="685" t="str">
        <f t="shared" si="51"/>
        <v/>
      </c>
      <c r="BJ12" s="685" t="str">
        <f t="shared" si="52"/>
        <v/>
      </c>
      <c r="BK12" s="686" t="str">
        <f t="shared" si="53"/>
        <v/>
      </c>
      <c r="BL12" s="684" t="str">
        <f t="shared" si="54"/>
        <v/>
      </c>
      <c r="BM12" s="685" t="str">
        <f t="shared" si="55"/>
        <v/>
      </c>
      <c r="BN12" s="685" t="str">
        <f t="shared" si="56"/>
        <v/>
      </c>
      <c r="BO12" s="685" t="str">
        <f t="shared" si="57"/>
        <v/>
      </c>
      <c r="BP12" s="685" t="str">
        <f t="shared" si="58"/>
        <v/>
      </c>
      <c r="BQ12" s="685" t="str">
        <f t="shared" si="59"/>
        <v/>
      </c>
      <c r="BR12" s="685" t="str">
        <f t="shared" si="60"/>
        <v/>
      </c>
      <c r="BS12" s="685" t="str">
        <f t="shared" si="61"/>
        <v/>
      </c>
      <c r="BT12" s="685" t="str">
        <f t="shared" si="62"/>
        <v/>
      </c>
      <c r="BU12" s="686" t="str">
        <f t="shared" si="63"/>
        <v/>
      </c>
      <c r="BV12" s="684" t="str">
        <f t="shared" si="64"/>
        <v/>
      </c>
      <c r="BW12" s="685" t="str">
        <f t="shared" si="65"/>
        <v/>
      </c>
      <c r="BX12" s="685" t="str">
        <f t="shared" si="66"/>
        <v/>
      </c>
      <c r="BY12" s="685" t="str">
        <f t="shared" si="67"/>
        <v/>
      </c>
      <c r="BZ12" s="685" t="str">
        <f t="shared" si="68"/>
        <v/>
      </c>
      <c r="CA12" s="685" t="str">
        <f t="shared" si="69"/>
        <v/>
      </c>
      <c r="CB12" s="685" t="str">
        <f t="shared" si="70"/>
        <v/>
      </c>
      <c r="CC12" s="685" t="str">
        <f t="shared" si="71"/>
        <v/>
      </c>
      <c r="CD12" s="685" t="str">
        <f t="shared" si="72"/>
        <v/>
      </c>
      <c r="CE12" s="686" t="str">
        <f t="shared" si="73"/>
        <v/>
      </c>
    </row>
    <row r="13" spans="1:83" s="57" customFormat="1" ht="14.25" customHeight="1">
      <c r="A13" s="687" t="s">
        <v>559</v>
      </c>
      <c r="B13" s="688" t="s">
        <v>560</v>
      </c>
      <c r="C13" s="689" t="s">
        <v>5</v>
      </c>
      <c r="D13" s="690" t="str">
        <f>IF(D$5&lt;&gt;"",IF(D$6&lt;&gt;"-",SUMIF(Parameter!$C$158:$J$158,D$6,Parameter!$C162:$K162),SUMIF(Parameter!$C$157:$J$157,D$5,Parameter!$C162:$K162)),"")</f>
        <v/>
      </c>
      <c r="E13" s="691" t="str">
        <f>IF(E$5&lt;&gt;"",IF(E$6&lt;&gt;"-",SUMIF(Parameter!$C$158:$J$158,E$6,Parameter!$C162:$K162),SUMIF(Parameter!$C$157:$J$157,E$5,Parameter!$C162:$K162)),"")</f>
        <v/>
      </c>
      <c r="F13" s="691" t="str">
        <f>IF(F$5&lt;&gt;"",IF(F$6&lt;&gt;"-",SUMIF(Parameter!$C$158:$J$158,F$6,Parameter!$C162:$K162),SUMIF(Parameter!$C$157:$J$157,F$5,Parameter!$C162:$K162)),"")</f>
        <v/>
      </c>
      <c r="G13" s="691" t="str">
        <f>IF(G$5&lt;&gt;"",IF(G$6&lt;&gt;"-",SUMIF(Parameter!$C$158:$J$158,G$6,Parameter!$C162:$K162),SUMIF(Parameter!$C$157:$J$157,G$5,Parameter!$C162:$K162)),"")</f>
        <v/>
      </c>
      <c r="H13" s="691" t="str">
        <f>IF(H$5&lt;&gt;"",IF(H$6&lt;&gt;"-",SUMIF(Parameter!$C$158:$J$158,H$6,Parameter!$C162:$K162),SUMIF(Parameter!$C$157:$J$157,H$5,Parameter!$C162:$K162)),"")</f>
        <v/>
      </c>
      <c r="I13" s="691" t="str">
        <f>IF(I$5&lt;&gt;"",IF(I$6&lt;&gt;"-",SUMIF(Parameter!$C$158:$J$158,I$6,Parameter!$C162:$K162),SUMIF(Parameter!$C$157:$J$157,I$5,Parameter!$C162:$K162)),"")</f>
        <v/>
      </c>
      <c r="J13" s="691" t="str">
        <f>IF(J$5&lt;&gt;"",IF(J$6&lt;&gt;"-",SUMIF(Parameter!$C$158:$J$158,J$6,Parameter!$C162:$K162),SUMIF(Parameter!$C$157:$J$157,J$5,Parameter!$C162:$K162)),"")</f>
        <v/>
      </c>
      <c r="K13" s="691" t="str">
        <f>IF(K$5&lt;&gt;"",IF(K$6&lt;&gt;"-",SUMIF(Parameter!$C$158:$J$158,K$6,Parameter!$C162:$K162),SUMIF(Parameter!$C$157:$J$157,K$5,Parameter!$C162:$K162)),"")</f>
        <v/>
      </c>
      <c r="L13" s="691" t="str">
        <f>IF(L$5&lt;&gt;"",IF(L$6&lt;&gt;"-",SUMIF(Parameter!$C$158:$J$158,L$6,Parameter!$C162:$K162),SUMIF(Parameter!$C$157:$J$157,L$5,Parameter!$C162:$K162)),"")</f>
        <v/>
      </c>
      <c r="M13" s="692" t="str">
        <f>IF(M$5&lt;&gt;"",IF(M$6&lt;&gt;"-",SUMIF(Parameter!$C$158:$J$158,M$6,Parameter!$C162:$K162),SUMIF(Parameter!$C$157:$J$157,M$5,Parameter!$C162:$K162)),"")</f>
        <v/>
      </c>
      <c r="N13" s="690" t="str">
        <f t="shared" si="14"/>
        <v/>
      </c>
      <c r="O13" s="691" t="str">
        <f t="shared" si="15"/>
        <v/>
      </c>
      <c r="P13" s="691" t="str">
        <f t="shared" si="16"/>
        <v/>
      </c>
      <c r="Q13" s="691" t="str">
        <f t="shared" si="17"/>
        <v/>
      </c>
      <c r="R13" s="691" t="str">
        <f t="shared" si="18"/>
        <v/>
      </c>
      <c r="S13" s="691" t="str">
        <f t="shared" si="19"/>
        <v/>
      </c>
      <c r="T13" s="691" t="str">
        <f t="shared" si="20"/>
        <v/>
      </c>
      <c r="U13" s="691" t="str">
        <f t="shared" si="21"/>
        <v/>
      </c>
      <c r="V13" s="691" t="str">
        <f t="shared" si="22"/>
        <v/>
      </c>
      <c r="W13" s="692" t="str">
        <f t="shared" si="23"/>
        <v/>
      </c>
      <c r="X13" s="690" t="str">
        <f t="shared" si="24"/>
        <v/>
      </c>
      <c r="Y13" s="691" t="str">
        <f t="shared" si="25"/>
        <v/>
      </c>
      <c r="Z13" s="691" t="str">
        <f t="shared" si="26"/>
        <v/>
      </c>
      <c r="AA13" s="691" t="str">
        <f t="shared" si="27"/>
        <v/>
      </c>
      <c r="AB13" s="691" t="str">
        <f t="shared" si="28"/>
        <v/>
      </c>
      <c r="AC13" s="691" t="str">
        <f t="shared" si="29"/>
        <v/>
      </c>
      <c r="AD13" s="691" t="str">
        <f t="shared" si="30"/>
        <v/>
      </c>
      <c r="AE13" s="691" t="str">
        <f t="shared" si="31"/>
        <v/>
      </c>
      <c r="AF13" s="691" t="str">
        <f t="shared" si="32"/>
        <v/>
      </c>
      <c r="AG13" s="692" t="str">
        <f t="shared" si="33"/>
        <v/>
      </c>
      <c r="AH13" s="690" t="str">
        <f t="shared" si="34"/>
        <v/>
      </c>
      <c r="AI13" s="691" t="str">
        <f t="shared" si="35"/>
        <v/>
      </c>
      <c r="AJ13" s="691" t="str">
        <f t="shared" si="36"/>
        <v/>
      </c>
      <c r="AK13" s="691" t="str">
        <f t="shared" si="37"/>
        <v/>
      </c>
      <c r="AL13" s="691" t="str">
        <f t="shared" si="38"/>
        <v/>
      </c>
      <c r="AM13" s="691" t="str">
        <f t="shared" si="39"/>
        <v/>
      </c>
      <c r="AN13" s="691" t="str">
        <f t="shared" si="40"/>
        <v/>
      </c>
      <c r="AO13" s="691" t="str">
        <f t="shared" si="41"/>
        <v/>
      </c>
      <c r="AP13" s="691" t="str">
        <f t="shared" si="42"/>
        <v/>
      </c>
      <c r="AQ13" s="692" t="str">
        <f t="shared" si="43"/>
        <v/>
      </c>
      <c r="AR13" s="690" t="str">
        <f>IF(AR$5&lt;&gt;"",D13,"")</f>
        <v/>
      </c>
      <c r="AS13" s="922" t="str">
        <f>IF(AS$5&lt;&gt;"",E13,"")</f>
        <v/>
      </c>
      <c r="AT13" s="664" t="str">
        <f t="shared" si="10"/>
        <v/>
      </c>
      <c r="AU13" s="664" t="str">
        <f t="shared" si="10"/>
        <v/>
      </c>
      <c r="AV13" s="664" t="str">
        <f t="shared" si="10"/>
        <v/>
      </c>
      <c r="AW13" s="664" t="str">
        <f t="shared" si="10"/>
        <v/>
      </c>
      <c r="AX13" s="664" t="str">
        <f t="shared" si="10"/>
        <v/>
      </c>
      <c r="AY13" s="664" t="str">
        <f t="shared" si="10"/>
        <v/>
      </c>
      <c r="AZ13" s="664" t="str">
        <f t="shared" si="10"/>
        <v/>
      </c>
      <c r="BA13" s="917" t="str">
        <f t="shared" si="10"/>
        <v/>
      </c>
      <c r="BB13" s="690" t="str">
        <f t="shared" si="44"/>
        <v/>
      </c>
      <c r="BC13" s="691" t="str">
        <f t="shared" si="45"/>
        <v/>
      </c>
      <c r="BD13" s="691" t="str">
        <f t="shared" si="46"/>
        <v/>
      </c>
      <c r="BE13" s="691" t="str">
        <f t="shared" si="47"/>
        <v/>
      </c>
      <c r="BF13" s="691" t="str">
        <f t="shared" si="48"/>
        <v/>
      </c>
      <c r="BG13" s="691" t="str">
        <f t="shared" si="49"/>
        <v/>
      </c>
      <c r="BH13" s="691" t="str">
        <f t="shared" si="50"/>
        <v/>
      </c>
      <c r="BI13" s="691" t="str">
        <f t="shared" si="51"/>
        <v/>
      </c>
      <c r="BJ13" s="691" t="str">
        <f t="shared" si="52"/>
        <v/>
      </c>
      <c r="BK13" s="692" t="str">
        <f t="shared" si="53"/>
        <v/>
      </c>
      <c r="BL13" s="690" t="str">
        <f t="shared" si="54"/>
        <v/>
      </c>
      <c r="BM13" s="691" t="str">
        <f t="shared" si="55"/>
        <v/>
      </c>
      <c r="BN13" s="691" t="str">
        <f t="shared" si="56"/>
        <v/>
      </c>
      <c r="BO13" s="691" t="str">
        <f t="shared" si="57"/>
        <v/>
      </c>
      <c r="BP13" s="691" t="str">
        <f t="shared" si="58"/>
        <v/>
      </c>
      <c r="BQ13" s="691" t="str">
        <f t="shared" si="59"/>
        <v/>
      </c>
      <c r="BR13" s="691" t="str">
        <f t="shared" si="60"/>
        <v/>
      </c>
      <c r="BS13" s="691" t="str">
        <f t="shared" si="61"/>
        <v/>
      </c>
      <c r="BT13" s="691" t="str">
        <f t="shared" si="62"/>
        <v/>
      </c>
      <c r="BU13" s="692" t="str">
        <f t="shared" si="63"/>
        <v/>
      </c>
      <c r="BV13" s="690" t="str">
        <f t="shared" si="64"/>
        <v/>
      </c>
      <c r="BW13" s="691" t="str">
        <f t="shared" si="65"/>
        <v/>
      </c>
      <c r="BX13" s="691" t="str">
        <f t="shared" si="66"/>
        <v/>
      </c>
      <c r="BY13" s="691" t="str">
        <f t="shared" si="67"/>
        <v/>
      </c>
      <c r="BZ13" s="691" t="str">
        <f t="shared" si="68"/>
        <v/>
      </c>
      <c r="CA13" s="691" t="str">
        <f t="shared" si="69"/>
        <v/>
      </c>
      <c r="CB13" s="691" t="str">
        <f t="shared" si="70"/>
        <v/>
      </c>
      <c r="CC13" s="691" t="str">
        <f t="shared" si="71"/>
        <v/>
      </c>
      <c r="CD13" s="691" t="str">
        <f t="shared" si="72"/>
        <v/>
      </c>
      <c r="CE13" s="692" t="str">
        <f t="shared" si="73"/>
        <v/>
      </c>
    </row>
    <row r="14" spans="1:83" ht="8.25" customHeight="1">
      <c r="A14" s="641"/>
      <c r="C14" s="640"/>
      <c r="D14" s="10"/>
      <c r="F14" s="57"/>
      <c r="M14" s="640"/>
      <c r="N14" s="10"/>
      <c r="P14" s="57"/>
      <c r="W14" s="640"/>
      <c r="X14" s="10"/>
      <c r="Z14" s="57"/>
      <c r="AG14" s="640"/>
      <c r="AH14" s="10"/>
      <c r="AJ14" s="57"/>
      <c r="AQ14" s="640"/>
      <c r="AR14" s="10"/>
      <c r="AT14" s="57"/>
      <c r="BA14" s="640"/>
      <c r="BB14" s="10"/>
      <c r="BD14" s="57"/>
      <c r="BK14" s="640"/>
      <c r="BL14" s="10"/>
      <c r="BN14" s="57"/>
      <c r="BU14" s="640"/>
      <c r="BV14" s="10"/>
      <c r="BX14" s="57"/>
      <c r="CE14" s="640"/>
    </row>
    <row r="15" spans="1:83" s="207" customFormat="1" ht="14.25" customHeight="1">
      <c r="A15" s="645" t="s">
        <v>561</v>
      </c>
      <c r="B15" s="870" t="s">
        <v>611</v>
      </c>
      <c r="C15" s="871" t="s">
        <v>5</v>
      </c>
      <c r="D15" s="693" t="str">
        <f t="shared" ref="D15:AI15" si="74">IF(D5="","",1/(D32*D35^2)*(D38*(1-D50/D34)^2-D39*SQRT(D33)*(D50/D34-D33)*ABS(D50/D34-D33)))</f>
        <v/>
      </c>
      <c r="E15" s="694" t="str">
        <f t="shared" si="74"/>
        <v/>
      </c>
      <c r="F15" s="694" t="str">
        <f t="shared" si="74"/>
        <v/>
      </c>
      <c r="G15" s="694" t="str">
        <f t="shared" si="74"/>
        <v/>
      </c>
      <c r="H15" s="694" t="str">
        <f t="shared" si="74"/>
        <v/>
      </c>
      <c r="I15" s="694" t="str">
        <f t="shared" si="74"/>
        <v/>
      </c>
      <c r="J15" s="694" t="str">
        <f t="shared" si="74"/>
        <v/>
      </c>
      <c r="K15" s="694" t="str">
        <f t="shared" si="74"/>
        <v/>
      </c>
      <c r="L15" s="694" t="str">
        <f t="shared" si="74"/>
        <v/>
      </c>
      <c r="M15" s="695" t="str">
        <f t="shared" si="74"/>
        <v/>
      </c>
      <c r="N15" s="693" t="str">
        <f t="shared" si="74"/>
        <v/>
      </c>
      <c r="O15" s="694" t="str">
        <f t="shared" si="74"/>
        <v/>
      </c>
      <c r="P15" s="694" t="str">
        <f t="shared" si="74"/>
        <v/>
      </c>
      <c r="Q15" s="694" t="str">
        <f t="shared" si="74"/>
        <v/>
      </c>
      <c r="R15" s="694" t="str">
        <f t="shared" si="74"/>
        <v/>
      </c>
      <c r="S15" s="694" t="str">
        <f t="shared" si="74"/>
        <v/>
      </c>
      <c r="T15" s="694" t="str">
        <f t="shared" si="74"/>
        <v/>
      </c>
      <c r="U15" s="694" t="str">
        <f t="shared" si="74"/>
        <v/>
      </c>
      <c r="V15" s="694" t="str">
        <f t="shared" si="74"/>
        <v/>
      </c>
      <c r="W15" s="695" t="str">
        <f t="shared" si="74"/>
        <v/>
      </c>
      <c r="X15" s="693" t="str">
        <f t="shared" si="74"/>
        <v/>
      </c>
      <c r="Y15" s="694" t="str">
        <f t="shared" si="74"/>
        <v/>
      </c>
      <c r="Z15" s="694" t="str">
        <f t="shared" si="74"/>
        <v/>
      </c>
      <c r="AA15" s="694" t="str">
        <f t="shared" si="74"/>
        <v/>
      </c>
      <c r="AB15" s="694" t="str">
        <f t="shared" si="74"/>
        <v/>
      </c>
      <c r="AC15" s="694" t="str">
        <f t="shared" si="74"/>
        <v/>
      </c>
      <c r="AD15" s="694" t="str">
        <f t="shared" si="74"/>
        <v/>
      </c>
      <c r="AE15" s="694" t="str">
        <f t="shared" si="74"/>
        <v/>
      </c>
      <c r="AF15" s="694" t="str">
        <f t="shared" si="74"/>
        <v/>
      </c>
      <c r="AG15" s="695" t="str">
        <f t="shared" si="74"/>
        <v/>
      </c>
      <c r="AH15" s="693" t="str">
        <f t="shared" si="74"/>
        <v/>
      </c>
      <c r="AI15" s="694" t="str">
        <f t="shared" si="74"/>
        <v/>
      </c>
      <c r="AJ15" s="694" t="str">
        <f t="shared" ref="AJ15:BO15" si="75">IF(AJ5="","",1/(AJ32*AJ35^2)*(AJ38*(1-AJ50/AJ34)^2-AJ39*SQRT(AJ33)*(AJ50/AJ34-AJ33)*ABS(AJ50/AJ34-AJ33)))</f>
        <v/>
      </c>
      <c r="AK15" s="694" t="str">
        <f t="shared" si="75"/>
        <v/>
      </c>
      <c r="AL15" s="694" t="str">
        <f t="shared" si="75"/>
        <v/>
      </c>
      <c r="AM15" s="694" t="str">
        <f t="shared" si="75"/>
        <v/>
      </c>
      <c r="AN15" s="694" t="str">
        <f t="shared" si="75"/>
        <v/>
      </c>
      <c r="AO15" s="694" t="str">
        <f t="shared" si="75"/>
        <v/>
      </c>
      <c r="AP15" s="694" t="str">
        <f t="shared" si="75"/>
        <v/>
      </c>
      <c r="AQ15" s="695" t="str">
        <f t="shared" si="75"/>
        <v/>
      </c>
      <c r="AR15" s="693" t="str">
        <f t="shared" si="75"/>
        <v/>
      </c>
      <c r="AS15" s="694" t="str">
        <f t="shared" si="75"/>
        <v/>
      </c>
      <c r="AT15" s="694" t="str">
        <f t="shared" si="75"/>
        <v/>
      </c>
      <c r="AU15" s="694" t="str">
        <f t="shared" si="75"/>
        <v/>
      </c>
      <c r="AV15" s="694" t="str">
        <f t="shared" si="75"/>
        <v/>
      </c>
      <c r="AW15" s="694" t="str">
        <f t="shared" si="75"/>
        <v/>
      </c>
      <c r="AX15" s="694" t="str">
        <f t="shared" si="75"/>
        <v/>
      </c>
      <c r="AY15" s="694" t="str">
        <f t="shared" si="75"/>
        <v/>
      </c>
      <c r="AZ15" s="694" t="str">
        <f t="shared" si="75"/>
        <v/>
      </c>
      <c r="BA15" s="695" t="str">
        <f t="shared" si="75"/>
        <v/>
      </c>
      <c r="BB15" s="693" t="str">
        <f t="shared" si="75"/>
        <v/>
      </c>
      <c r="BC15" s="694" t="str">
        <f t="shared" si="75"/>
        <v/>
      </c>
      <c r="BD15" s="694" t="str">
        <f t="shared" si="75"/>
        <v/>
      </c>
      <c r="BE15" s="694" t="str">
        <f t="shared" si="75"/>
        <v/>
      </c>
      <c r="BF15" s="694" t="str">
        <f t="shared" si="75"/>
        <v/>
      </c>
      <c r="BG15" s="694" t="str">
        <f t="shared" si="75"/>
        <v/>
      </c>
      <c r="BH15" s="694" t="str">
        <f t="shared" si="75"/>
        <v/>
      </c>
      <c r="BI15" s="694" t="str">
        <f t="shared" si="75"/>
        <v/>
      </c>
      <c r="BJ15" s="694" t="str">
        <f t="shared" si="75"/>
        <v/>
      </c>
      <c r="BK15" s="695" t="str">
        <f t="shared" si="75"/>
        <v/>
      </c>
      <c r="BL15" s="693" t="str">
        <f t="shared" si="75"/>
        <v/>
      </c>
      <c r="BM15" s="694" t="str">
        <f t="shared" si="75"/>
        <v/>
      </c>
      <c r="BN15" s="694" t="str">
        <f t="shared" si="75"/>
        <v/>
      </c>
      <c r="BO15" s="694" t="str">
        <f t="shared" si="75"/>
        <v/>
      </c>
      <c r="BP15" s="694" t="str">
        <f t="shared" ref="BP15:CE15" si="76">IF(BP5="","",1/(BP32*BP35^2)*(BP38*(1-BP50/BP34)^2-BP39*SQRT(BP33)*(BP50/BP34-BP33)*ABS(BP50/BP34-BP33)))</f>
        <v/>
      </c>
      <c r="BQ15" s="694" t="str">
        <f t="shared" si="76"/>
        <v/>
      </c>
      <c r="BR15" s="694" t="str">
        <f t="shared" si="76"/>
        <v/>
      </c>
      <c r="BS15" s="694" t="str">
        <f t="shared" si="76"/>
        <v/>
      </c>
      <c r="BT15" s="694" t="str">
        <f t="shared" si="76"/>
        <v/>
      </c>
      <c r="BU15" s="695" t="str">
        <f t="shared" si="76"/>
        <v/>
      </c>
      <c r="BV15" s="693" t="str">
        <f t="shared" si="76"/>
        <v/>
      </c>
      <c r="BW15" s="694" t="str">
        <f t="shared" si="76"/>
        <v/>
      </c>
      <c r="BX15" s="694" t="str">
        <f t="shared" si="76"/>
        <v/>
      </c>
      <c r="BY15" s="694" t="str">
        <f t="shared" si="76"/>
        <v/>
      </c>
      <c r="BZ15" s="694" t="str">
        <f t="shared" si="76"/>
        <v/>
      </c>
      <c r="CA15" s="694" t="str">
        <f t="shared" si="76"/>
        <v/>
      </c>
      <c r="CB15" s="694" t="str">
        <f t="shared" si="76"/>
        <v/>
      </c>
      <c r="CC15" s="694" t="str">
        <f t="shared" si="76"/>
        <v/>
      </c>
      <c r="CD15" s="694" t="str">
        <f t="shared" si="76"/>
        <v/>
      </c>
      <c r="CE15" s="695" t="str">
        <f t="shared" si="76"/>
        <v/>
      </c>
    </row>
    <row r="16" spans="1:83" s="207" customFormat="1" ht="14.25" customHeight="1">
      <c r="A16" s="645" t="s">
        <v>562</v>
      </c>
      <c r="B16" s="870" t="s">
        <v>563</v>
      </c>
      <c r="C16" s="871" t="s">
        <v>5</v>
      </c>
      <c r="D16" s="693" t="str">
        <f>IF(D$5&lt;&gt;"",IF(D$6&lt;&gt;"-",SUMIF(Parameter!$C$158:$J$158,D$6,Parameter!$C164:$K164),SUMIF(Parameter!$C$157:$J$157,D$5,Parameter!$C164:$K164)),"")</f>
        <v/>
      </c>
      <c r="E16" s="694" t="str">
        <f>IF(E$5&lt;&gt;"",IF(E$6&lt;&gt;"-",SUMIF(Parameter!$C$158:$J$158,E$6,Parameter!$C164:$K164),SUMIF(Parameter!$C$157:$J$157,E$5,Parameter!$C164:$K164)),"")</f>
        <v/>
      </c>
      <c r="F16" s="694" t="str">
        <f>IF(F$5&lt;&gt;"",IF(F$6&lt;&gt;"-",SUMIF(Parameter!$C$158:$J$158,F$6,Parameter!$C164:$K164),SUMIF(Parameter!$C$157:$J$157,F$5,Parameter!$C164:$K164)),"")</f>
        <v/>
      </c>
      <c r="G16" s="694" t="str">
        <f>IF(G$5&lt;&gt;"",IF(G$6&lt;&gt;"-",SUMIF(Parameter!$C$158:$J$158,G$6,Parameter!$C164:$K164),SUMIF(Parameter!$C$157:$J$157,G$5,Parameter!$C164:$K164)),"")</f>
        <v/>
      </c>
      <c r="H16" s="694" t="str">
        <f>IF(H$5&lt;&gt;"",IF(H$6&lt;&gt;"-",SUMIF(Parameter!$C$158:$J$158,H$6,Parameter!$C164:$K164),SUMIF(Parameter!$C$157:$J$157,H$5,Parameter!$C164:$K164)),"")</f>
        <v/>
      </c>
      <c r="I16" s="694" t="str">
        <f>IF(I$5&lt;&gt;"",IF(I$6&lt;&gt;"-",SUMIF(Parameter!$C$158:$J$158,I$6,Parameter!$C164:$K164),SUMIF(Parameter!$C$157:$J$157,I$5,Parameter!$C164:$K164)),"")</f>
        <v/>
      </c>
      <c r="J16" s="694" t="str">
        <f>IF(J$5&lt;&gt;"",IF(J$6&lt;&gt;"-",SUMIF(Parameter!$C$158:$J$158,J$6,Parameter!$C164:$K164),SUMIF(Parameter!$C$157:$J$157,J$5,Parameter!$C164:$K164)),"")</f>
        <v/>
      </c>
      <c r="K16" s="694" t="str">
        <f>IF(K$5&lt;&gt;"",IF(K$6&lt;&gt;"-",SUMIF(Parameter!$C$158:$J$158,K$6,Parameter!$C164:$K164),SUMIF(Parameter!$C$157:$J$157,K$5,Parameter!$C164:$K164)),"")</f>
        <v/>
      </c>
      <c r="L16" s="694" t="str">
        <f>IF(L$5&lt;&gt;"",IF(L$6&lt;&gt;"-",SUMIF(Parameter!$C$158:$J$158,L$6,Parameter!$C164:$K164),SUMIF(Parameter!$C$157:$J$157,L$5,Parameter!$C164:$K164)),"")</f>
        <v/>
      </c>
      <c r="M16" s="695" t="str">
        <f>IF(M$5&lt;&gt;"",IF(M$6&lt;&gt;"-",SUMIF(Parameter!$C$158:$J$158,M$6,Parameter!$C164:$K164),SUMIF(Parameter!$C$157:$J$157,M$5,Parameter!$C164:$K164)),"")</f>
        <v/>
      </c>
      <c r="N16" s="693" t="str">
        <f>IF(N$5&lt;&gt;"",IF(N$6&lt;&gt;"-",SUMIF(Parameter!$C$158:$J$158,N$6,Parameter!$C164:$K164),SUMIF(Parameter!$C$157:$J$157,N$5,Parameter!$C164:$K164)),"")</f>
        <v/>
      </c>
      <c r="O16" s="694" t="str">
        <f>IF(O$5&lt;&gt;"",IF(O$6&lt;&gt;"-",SUMIF(Parameter!$C$158:$J$158,O$6,Parameter!$C164:$K164),SUMIF(Parameter!$C$157:$J$157,O$5,Parameter!$C164:$K164)),"")</f>
        <v/>
      </c>
      <c r="P16" s="694" t="str">
        <f>IF(P$5&lt;&gt;"",IF(P$6&lt;&gt;"-",SUMIF(Parameter!$C$158:$J$158,P$6,Parameter!$C164:$K164),SUMIF(Parameter!$C$157:$J$157,P$5,Parameter!$C164:$K164)),"")</f>
        <v/>
      </c>
      <c r="Q16" s="694" t="str">
        <f>IF(Q$5&lt;&gt;"",IF(Q$6&lt;&gt;"-",SUMIF(Parameter!$C$158:$J$158,Q$6,Parameter!$C164:$K164),SUMIF(Parameter!$C$157:$J$157,Q$5,Parameter!$C164:$K164)),"")</f>
        <v/>
      </c>
      <c r="R16" s="694" t="str">
        <f>IF(R$5&lt;&gt;"",IF(R$6&lt;&gt;"-",SUMIF(Parameter!$C$158:$J$158,R$6,Parameter!$C164:$K164),SUMIF(Parameter!$C$157:$J$157,R$5,Parameter!$C164:$K164)),"")</f>
        <v/>
      </c>
      <c r="S16" s="694" t="str">
        <f>IF(S$5&lt;&gt;"",IF(S$6&lt;&gt;"-",SUMIF(Parameter!$C$158:$J$158,S$6,Parameter!$C164:$K164),SUMIF(Parameter!$C$157:$J$157,S$5,Parameter!$C164:$K164)),"")</f>
        <v/>
      </c>
      <c r="T16" s="694" t="str">
        <f>IF(T$5&lt;&gt;"",IF(T$6&lt;&gt;"-",SUMIF(Parameter!$C$158:$J$158,T$6,Parameter!$C164:$K164),SUMIF(Parameter!$C$157:$J$157,T$5,Parameter!$C164:$K164)),"")</f>
        <v/>
      </c>
      <c r="U16" s="694" t="str">
        <f>IF(U$5&lt;&gt;"",IF(U$6&lt;&gt;"-",SUMIF(Parameter!$C$158:$J$158,U$6,Parameter!$C164:$K164),SUMIF(Parameter!$C$157:$J$157,U$5,Parameter!$C164:$K164)),"")</f>
        <v/>
      </c>
      <c r="V16" s="694" t="str">
        <f>IF(V$5&lt;&gt;"",IF(V$6&lt;&gt;"-",SUMIF(Parameter!$C$158:$J$158,V$6,Parameter!$C164:$K164),SUMIF(Parameter!$C$157:$J$157,V$5,Parameter!$C164:$K164)),"")</f>
        <v/>
      </c>
      <c r="W16" s="695" t="str">
        <f>IF(W$5&lt;&gt;"",IF(W$6&lt;&gt;"-",SUMIF(Parameter!$C$158:$J$158,W$6,Parameter!$C164:$K164),SUMIF(Parameter!$C$157:$J$157,W$5,Parameter!$C164:$K164)),"")</f>
        <v/>
      </c>
      <c r="X16" s="693" t="str">
        <f>IF(X$5&lt;&gt;"",IF(X$6&lt;&gt;"-",SUMIF(Parameter!$C$158:$J$158,X$6,Parameter!$C164:$K164),SUMIF(Parameter!$C$157:$J$157,X$5,Parameter!$C164:$K164)),"")</f>
        <v/>
      </c>
      <c r="Y16" s="694" t="str">
        <f>IF(Y$5&lt;&gt;"",IF(Y$6&lt;&gt;"-",SUMIF(Parameter!$C$158:$J$158,Y$6,Parameter!$C164:$K164),SUMIF(Parameter!$C$157:$J$157,Y$5,Parameter!$C164:$K164)),"")</f>
        <v/>
      </c>
      <c r="Z16" s="694" t="str">
        <f>IF(Z$5&lt;&gt;"",IF(Z$6&lt;&gt;"-",SUMIF(Parameter!$C$158:$J$158,Z$6,Parameter!$C164:$K164),SUMIF(Parameter!$C$157:$J$157,Z$5,Parameter!$C164:$K164)),"")</f>
        <v/>
      </c>
      <c r="AA16" s="694" t="str">
        <f>IF(AA$5&lt;&gt;"",IF(AA$6&lt;&gt;"-",SUMIF(Parameter!$C$158:$J$158,AA$6,Parameter!$C164:$K164),SUMIF(Parameter!$C$157:$J$157,AA$5,Parameter!$C164:$K164)),"")</f>
        <v/>
      </c>
      <c r="AB16" s="694" t="str">
        <f>IF(AB$5&lt;&gt;"",IF(AB$6&lt;&gt;"-",SUMIF(Parameter!$C$158:$J$158,AB$6,Parameter!$C164:$K164),SUMIF(Parameter!$C$157:$J$157,AB$5,Parameter!$C164:$K164)),"")</f>
        <v/>
      </c>
      <c r="AC16" s="694" t="str">
        <f>IF(AC$5&lt;&gt;"",IF(AC$6&lt;&gt;"-",SUMIF(Parameter!$C$158:$J$158,AC$6,Parameter!$C164:$K164),SUMIF(Parameter!$C$157:$J$157,AC$5,Parameter!$C164:$K164)),"")</f>
        <v/>
      </c>
      <c r="AD16" s="694" t="str">
        <f>IF(AD$5&lt;&gt;"",IF(AD$6&lt;&gt;"-",SUMIF(Parameter!$C$158:$J$158,AD$6,Parameter!$C164:$K164),SUMIF(Parameter!$C$157:$J$157,AD$5,Parameter!$C164:$K164)),"")</f>
        <v/>
      </c>
      <c r="AE16" s="694" t="str">
        <f>IF(AE$5&lt;&gt;"",IF(AE$6&lt;&gt;"-",SUMIF(Parameter!$C$158:$J$158,AE$6,Parameter!$C164:$K164),SUMIF(Parameter!$C$157:$J$157,AE$5,Parameter!$C164:$K164)),"")</f>
        <v/>
      </c>
      <c r="AF16" s="694" t="str">
        <f>IF(AF$5&lt;&gt;"",IF(AF$6&lt;&gt;"-",SUMIF(Parameter!$C$158:$J$158,AF$6,Parameter!$C164:$K164),SUMIF(Parameter!$C$157:$J$157,AF$5,Parameter!$C164:$K164)),"")</f>
        <v/>
      </c>
      <c r="AG16" s="695" t="str">
        <f>IF(AG$5&lt;&gt;"",IF(AG$6&lt;&gt;"-",SUMIF(Parameter!$C$158:$J$158,AG$6,Parameter!$C164:$K164),SUMIF(Parameter!$C$157:$J$157,AG$5,Parameter!$C164:$K164)),"")</f>
        <v/>
      </c>
      <c r="AH16" s="693" t="str">
        <f>IF(AH$5&lt;&gt;"",IF(AH$6&lt;&gt;"-",SUMIF(Parameter!$C$158:$J$158,AH$6,Parameter!$C164:$K164),SUMIF(Parameter!$C$157:$J$157,AH$5,Parameter!$C164:$K164)),"")</f>
        <v/>
      </c>
      <c r="AI16" s="694" t="str">
        <f>IF(AI$5&lt;&gt;"",IF(AI$6&lt;&gt;"-",SUMIF(Parameter!$C$158:$J$158,AI$6,Parameter!$C164:$K164),SUMIF(Parameter!$C$157:$J$157,AI$5,Parameter!$C164:$K164)),"")</f>
        <v/>
      </c>
      <c r="AJ16" s="694" t="str">
        <f>IF(AJ$5&lt;&gt;"",IF(AJ$6&lt;&gt;"-",SUMIF(Parameter!$C$158:$J$158,AJ$6,Parameter!$C164:$K164),SUMIF(Parameter!$C$157:$J$157,AJ$5,Parameter!$C164:$K164)),"")</f>
        <v/>
      </c>
      <c r="AK16" s="694" t="str">
        <f>IF(AK$5&lt;&gt;"",IF(AK$6&lt;&gt;"-",SUMIF(Parameter!$C$158:$J$158,AK$6,Parameter!$C164:$K164),SUMIF(Parameter!$C$157:$J$157,AK$5,Parameter!$C164:$K164)),"")</f>
        <v/>
      </c>
      <c r="AL16" s="694" t="str">
        <f>IF(AL$5&lt;&gt;"",IF(AL$6&lt;&gt;"-",SUMIF(Parameter!$C$158:$J$158,AL$6,Parameter!$C164:$K164),SUMIF(Parameter!$C$157:$J$157,AL$5,Parameter!$C164:$K164)),"")</f>
        <v/>
      </c>
      <c r="AM16" s="694" t="str">
        <f>IF(AM$5&lt;&gt;"",IF(AM$6&lt;&gt;"-",SUMIF(Parameter!$C$158:$J$158,AM$6,Parameter!$C164:$K164),SUMIF(Parameter!$C$157:$J$157,AM$5,Parameter!$C164:$K164)),"")</f>
        <v/>
      </c>
      <c r="AN16" s="694" t="str">
        <f>IF(AN$5&lt;&gt;"",IF(AN$6&lt;&gt;"-",SUMIF(Parameter!$C$158:$J$158,AN$6,Parameter!$C164:$K164),SUMIF(Parameter!$C$157:$J$157,AN$5,Parameter!$C164:$K164)),"")</f>
        <v/>
      </c>
      <c r="AO16" s="694" t="str">
        <f>IF(AO$5&lt;&gt;"",IF(AO$6&lt;&gt;"-",SUMIF(Parameter!$C$158:$J$158,AO$6,Parameter!$C164:$K164),SUMIF(Parameter!$C$157:$J$157,AO$5,Parameter!$C164:$K164)),"")</f>
        <v/>
      </c>
      <c r="AP16" s="694" t="str">
        <f>IF(AP$5&lt;&gt;"",IF(AP$6&lt;&gt;"-",SUMIF(Parameter!$C$158:$J$158,AP$6,Parameter!$C164:$K164),SUMIF(Parameter!$C$157:$J$157,AP$5,Parameter!$C164:$K164)),"")</f>
        <v/>
      </c>
      <c r="AQ16" s="695" t="str">
        <f>IF(AQ$5&lt;&gt;"",IF(AQ$6&lt;&gt;"-",SUMIF(Parameter!$C$158:$J$158,AQ$6,Parameter!$C164:$K164),SUMIF(Parameter!$C$157:$J$157,AQ$5,Parameter!$C164:$K164)),"")</f>
        <v/>
      </c>
      <c r="AR16" s="693" t="str">
        <f>IF(AR$5&lt;&gt;"",IF(AR$6&lt;&gt;"-",SUMIF(Parameter!$C$158:$J$158,AR$6,Parameter!$C164:$K164),SUMIF(Parameter!$C$157:$J$157,AR$5,Parameter!$C164:$K164)),"")</f>
        <v/>
      </c>
      <c r="AS16" s="694" t="str">
        <f>IF(AS$5&lt;&gt;"",IF(AS$6&lt;&gt;"-",SUMIF(Parameter!$C$158:$J$158,AS$6,Parameter!$C164:$K164),SUMIF(Parameter!$C$157:$J$157,AS$5,Parameter!$C164:$K164)),"")</f>
        <v/>
      </c>
      <c r="AT16" s="694" t="str">
        <f>IF(AT$5&lt;&gt;"",IF(AT$6&lt;&gt;"-",SUMIF(Parameter!$C$158:$J$158,AT$6,Parameter!$C164:$K164),SUMIF(Parameter!$C$157:$J$157,AT$5,Parameter!$C164:$K164)),"")</f>
        <v/>
      </c>
      <c r="AU16" s="694" t="str">
        <f>IF(AU$5&lt;&gt;"",IF(AU$6&lt;&gt;"-",SUMIF(Parameter!$C$158:$J$158,AU$6,Parameter!$C164:$K164),SUMIF(Parameter!$C$157:$J$157,AU$5,Parameter!$C164:$K164)),"")</f>
        <v/>
      </c>
      <c r="AV16" s="694" t="str">
        <f>IF(AV$5&lt;&gt;"",IF(AV$6&lt;&gt;"-",SUMIF(Parameter!$C$158:$J$158,AV$6,Parameter!$C164:$K164),SUMIF(Parameter!$C$157:$J$157,AV$5,Parameter!$C164:$K164)),"")</f>
        <v/>
      </c>
      <c r="AW16" s="694" t="str">
        <f>IF(AW$5&lt;&gt;"",IF(AW$6&lt;&gt;"-",SUMIF(Parameter!$C$158:$J$158,AW$6,Parameter!$C164:$K164),SUMIF(Parameter!$C$157:$J$157,AW$5,Parameter!$C164:$K164)),"")</f>
        <v/>
      </c>
      <c r="AX16" s="694" t="str">
        <f>IF(AX$5&lt;&gt;"",IF(AX$6&lt;&gt;"-",SUMIF(Parameter!$C$158:$J$158,AX$6,Parameter!$C164:$K164),SUMIF(Parameter!$C$157:$J$157,AX$5,Parameter!$C164:$K164)),"")</f>
        <v/>
      </c>
      <c r="AY16" s="694" t="str">
        <f>IF(AY$5&lt;&gt;"",IF(AY$6&lt;&gt;"-",SUMIF(Parameter!$C$158:$J$158,AY$6,Parameter!$C164:$K164),SUMIF(Parameter!$C$157:$J$157,AY$5,Parameter!$C164:$K164)),"")</f>
        <v/>
      </c>
      <c r="AZ16" s="694" t="str">
        <f>IF(AZ$5&lt;&gt;"",IF(AZ$6&lt;&gt;"-",SUMIF(Parameter!$C$158:$J$158,AZ$6,Parameter!$C164:$K164),SUMIF(Parameter!$C$157:$J$157,AZ$5,Parameter!$C164:$K164)),"")</f>
        <v/>
      </c>
      <c r="BA16" s="695" t="str">
        <f>IF(BA$5&lt;&gt;"",IF(BA$6&lt;&gt;"-",SUMIF(Parameter!$C$158:$J$158,BA$6,Parameter!$C164:$K164),SUMIF(Parameter!$C$157:$J$157,BA$5,Parameter!$C164:$K164)),"")</f>
        <v/>
      </c>
      <c r="BB16" s="693" t="str">
        <f>IF(BB$5&lt;&gt;"",IF(BB$6&lt;&gt;"-",SUMIF(Parameter!$C$158:$J$158,BB$6,Parameter!$C164:$K164),SUMIF(Parameter!$C$157:$J$157,BB$5,Parameter!$C164:$K164)),"")</f>
        <v/>
      </c>
      <c r="BC16" s="694" t="str">
        <f>IF(BC$5&lt;&gt;"",IF(BC$6&lt;&gt;"-",SUMIF(Parameter!$C$158:$J$158,BC$6,Parameter!$C164:$K164),SUMIF(Parameter!$C$157:$J$157,BC$5,Parameter!$C164:$K164)),"")</f>
        <v/>
      </c>
      <c r="BD16" s="694" t="str">
        <f>IF(BD$5&lt;&gt;"",IF(BD$6&lt;&gt;"-",SUMIF(Parameter!$C$158:$J$158,BD$6,Parameter!$C164:$K164),SUMIF(Parameter!$C$157:$J$157,BD$5,Parameter!$C164:$K164)),"")</f>
        <v/>
      </c>
      <c r="BE16" s="694" t="str">
        <f>IF(BE$5&lt;&gt;"",IF(BE$6&lt;&gt;"-",SUMIF(Parameter!$C$158:$J$158,BE$6,Parameter!$C164:$K164),SUMIF(Parameter!$C$157:$J$157,BE$5,Parameter!$C164:$K164)),"")</f>
        <v/>
      </c>
      <c r="BF16" s="694" t="str">
        <f>IF(BF$5&lt;&gt;"",IF(BF$6&lt;&gt;"-",SUMIF(Parameter!$C$158:$J$158,BF$6,Parameter!$C164:$K164),SUMIF(Parameter!$C$157:$J$157,BF$5,Parameter!$C164:$K164)),"")</f>
        <v/>
      </c>
      <c r="BG16" s="694" t="str">
        <f>IF(BG$5&lt;&gt;"",IF(BG$6&lt;&gt;"-",SUMIF(Parameter!$C$158:$J$158,BG$6,Parameter!$C164:$K164),SUMIF(Parameter!$C$157:$J$157,BG$5,Parameter!$C164:$K164)),"")</f>
        <v/>
      </c>
      <c r="BH16" s="694" t="str">
        <f>IF(BH$5&lt;&gt;"",IF(BH$6&lt;&gt;"-",SUMIF(Parameter!$C$158:$J$158,BH$6,Parameter!$C164:$K164),SUMIF(Parameter!$C$157:$J$157,BH$5,Parameter!$C164:$K164)),"")</f>
        <v/>
      </c>
      <c r="BI16" s="694" t="str">
        <f>IF(BI$5&lt;&gt;"",IF(BI$6&lt;&gt;"-",SUMIF(Parameter!$C$158:$J$158,BI$6,Parameter!$C164:$K164),SUMIF(Parameter!$C$157:$J$157,BI$5,Parameter!$C164:$K164)),"")</f>
        <v/>
      </c>
      <c r="BJ16" s="694" t="str">
        <f>IF(BJ$5&lt;&gt;"",IF(BJ$6&lt;&gt;"-",SUMIF(Parameter!$C$158:$J$158,BJ$6,Parameter!$C164:$K164),SUMIF(Parameter!$C$157:$J$157,BJ$5,Parameter!$C164:$K164)),"")</f>
        <v/>
      </c>
      <c r="BK16" s="695" t="str">
        <f>IF(BK$5&lt;&gt;"",IF(BK$6&lt;&gt;"-",SUMIF(Parameter!$C$158:$J$158,BK$6,Parameter!$C164:$K164),SUMIF(Parameter!$C$157:$J$157,BK$5,Parameter!$C164:$K164)),"")</f>
        <v/>
      </c>
      <c r="BL16" s="693" t="str">
        <f>IF(BL$5&lt;&gt;"",IF(BL$6&lt;&gt;"-",SUMIF(Parameter!$C$158:$J$158,BL$6,Parameter!$C164:$K164),SUMIF(Parameter!$C$157:$J$157,BL$5,Parameter!$C164:$K164)),"")</f>
        <v/>
      </c>
      <c r="BM16" s="694" t="str">
        <f>IF(BM$5&lt;&gt;"",IF(BM$6&lt;&gt;"-",SUMIF(Parameter!$C$158:$J$158,BM$6,Parameter!$C164:$K164),SUMIF(Parameter!$C$157:$J$157,BM$5,Parameter!$C164:$K164)),"")</f>
        <v/>
      </c>
      <c r="BN16" s="694" t="str">
        <f>IF(BN$5&lt;&gt;"",IF(BN$6&lt;&gt;"-",SUMIF(Parameter!$C$158:$J$158,BN$6,Parameter!$C164:$K164),SUMIF(Parameter!$C$157:$J$157,BN$5,Parameter!$C164:$K164)),"")</f>
        <v/>
      </c>
      <c r="BO16" s="694" t="str">
        <f>IF(BO$5&lt;&gt;"",IF(BO$6&lt;&gt;"-",SUMIF(Parameter!$C$158:$J$158,BO$6,Parameter!$C164:$K164),SUMIF(Parameter!$C$157:$J$157,BO$5,Parameter!$C164:$K164)),"")</f>
        <v/>
      </c>
      <c r="BP16" s="694" t="str">
        <f>IF(BP$5&lt;&gt;"",IF(BP$6&lt;&gt;"-",SUMIF(Parameter!$C$158:$J$158,BP$6,Parameter!$C164:$K164),SUMIF(Parameter!$C$157:$J$157,BP$5,Parameter!$C164:$K164)),"")</f>
        <v/>
      </c>
      <c r="BQ16" s="694" t="str">
        <f>IF(BQ$5&lt;&gt;"",IF(BQ$6&lt;&gt;"-",SUMIF(Parameter!$C$158:$J$158,BQ$6,Parameter!$C164:$K164),SUMIF(Parameter!$C$157:$J$157,BQ$5,Parameter!$C164:$K164)),"")</f>
        <v/>
      </c>
      <c r="BR16" s="694" t="str">
        <f>IF(BR$5&lt;&gt;"",IF(BR$6&lt;&gt;"-",SUMIF(Parameter!$C$158:$J$158,BR$6,Parameter!$C164:$K164),SUMIF(Parameter!$C$157:$J$157,BR$5,Parameter!$C164:$K164)),"")</f>
        <v/>
      </c>
      <c r="BS16" s="694" t="str">
        <f>IF(BS$5&lt;&gt;"",IF(BS$6&lt;&gt;"-",SUMIF(Parameter!$C$158:$J$158,BS$6,Parameter!$C164:$K164),SUMIF(Parameter!$C$157:$J$157,BS$5,Parameter!$C164:$K164)),"")</f>
        <v/>
      </c>
      <c r="BT16" s="694" t="str">
        <f>IF(BT$5&lt;&gt;"",IF(BT$6&lt;&gt;"-",SUMIF(Parameter!$C$158:$J$158,BT$6,Parameter!$C164:$K164),SUMIF(Parameter!$C$157:$J$157,BT$5,Parameter!$C164:$K164)),"")</f>
        <v/>
      </c>
      <c r="BU16" s="695" t="str">
        <f>IF(BU$5&lt;&gt;"",IF(BU$6&lt;&gt;"-",SUMIF(Parameter!$C$158:$J$158,BU$6,Parameter!$C164:$K164),SUMIF(Parameter!$C$157:$J$157,BU$5,Parameter!$C164:$K164)),"")</f>
        <v/>
      </c>
      <c r="BV16" s="693" t="str">
        <f>IF(BV$5&lt;&gt;"",IF(BV$6&lt;&gt;"-",SUMIF(Parameter!$C$158:$J$158,BV$6,Parameter!$C164:$K164),SUMIF(Parameter!$C$157:$J$157,BV$5,Parameter!$C164:$K164)),"")</f>
        <v/>
      </c>
      <c r="BW16" s="694" t="str">
        <f>IF(BW$5&lt;&gt;"",IF(BW$6&lt;&gt;"-",SUMIF(Parameter!$C$158:$J$158,BW$6,Parameter!$C164:$K164),SUMIF(Parameter!$C$157:$J$157,BW$5,Parameter!$C164:$K164)),"")</f>
        <v/>
      </c>
      <c r="BX16" s="694" t="str">
        <f>IF(BX$5&lt;&gt;"",IF(BX$6&lt;&gt;"-",SUMIF(Parameter!$C$158:$J$158,BX$6,Parameter!$C164:$K164),SUMIF(Parameter!$C$157:$J$157,BX$5,Parameter!$C164:$K164)),"")</f>
        <v/>
      </c>
      <c r="BY16" s="694" t="str">
        <f>IF(BY$5&lt;&gt;"",IF(BY$6&lt;&gt;"-",SUMIF(Parameter!$C$158:$J$158,BY$6,Parameter!$C164:$K164),SUMIF(Parameter!$C$157:$J$157,BY$5,Parameter!$C164:$K164)),"")</f>
        <v/>
      </c>
      <c r="BZ16" s="694" t="str">
        <f>IF(BZ$5&lt;&gt;"",IF(BZ$6&lt;&gt;"-",SUMIF(Parameter!$C$158:$J$158,BZ$6,Parameter!$C164:$K164),SUMIF(Parameter!$C$157:$J$157,BZ$5,Parameter!$C164:$K164)),"")</f>
        <v/>
      </c>
      <c r="CA16" s="694" t="str">
        <f>IF(CA$5&lt;&gt;"",IF(CA$6&lt;&gt;"-",SUMIF(Parameter!$C$158:$J$158,CA$6,Parameter!$C164:$K164),SUMIF(Parameter!$C$157:$J$157,CA$5,Parameter!$C164:$K164)),"")</f>
        <v/>
      </c>
      <c r="CB16" s="694" t="str">
        <f>IF(CB$5&lt;&gt;"",IF(CB$6&lt;&gt;"-",SUMIF(Parameter!$C$158:$J$158,CB$6,Parameter!$C164:$K164),SUMIF(Parameter!$C$157:$J$157,CB$5,Parameter!$C164:$K164)),"")</f>
        <v/>
      </c>
      <c r="CC16" s="694" t="str">
        <f>IF(CC$5&lt;&gt;"",IF(CC$6&lt;&gt;"-",SUMIF(Parameter!$C$158:$J$158,CC$6,Parameter!$C164:$K164),SUMIF(Parameter!$C$157:$J$157,CC$5,Parameter!$C164:$K164)),"")</f>
        <v/>
      </c>
      <c r="CD16" s="694" t="str">
        <f>IF(CD$5&lt;&gt;"",IF(CD$6&lt;&gt;"-",SUMIF(Parameter!$C$158:$J$158,CD$6,Parameter!$C164:$K164),SUMIF(Parameter!$C$157:$J$157,CD$5,Parameter!$C164:$K164)),"")</f>
        <v/>
      </c>
      <c r="CE16" s="695" t="str">
        <f>IF(CE$5&lt;&gt;"",IF(CE$6&lt;&gt;"-",SUMIF(Parameter!$C$158:$J$158,CE$6,Parameter!$C164:$K164),SUMIF(Parameter!$C$157:$J$157,CE$5,Parameter!$C164:$K164)),"")</f>
        <v/>
      </c>
    </row>
    <row r="17" spans="1:83" s="207" customFormat="1" ht="8.25" customHeight="1">
      <c r="A17" s="641"/>
      <c r="B17" s="5"/>
      <c r="C17" s="640"/>
      <c r="D17" s="10"/>
      <c r="E17" s="5"/>
      <c r="F17" s="57"/>
      <c r="G17" s="5"/>
      <c r="H17" s="5"/>
      <c r="I17" s="5"/>
      <c r="J17" s="5"/>
      <c r="K17" s="5"/>
      <c r="L17" s="5"/>
      <c r="M17" s="640"/>
      <c r="N17" s="10"/>
      <c r="O17" s="5"/>
      <c r="P17" s="57"/>
      <c r="Q17" s="5"/>
      <c r="R17" s="5"/>
      <c r="S17" s="5"/>
      <c r="T17" s="5"/>
      <c r="U17" s="5"/>
      <c r="V17" s="5"/>
      <c r="W17" s="640"/>
      <c r="X17" s="10"/>
      <c r="Y17" s="5"/>
      <c r="Z17" s="57"/>
      <c r="AA17" s="5"/>
      <c r="AB17" s="5"/>
      <c r="AC17" s="5"/>
      <c r="AD17" s="5"/>
      <c r="AE17" s="5"/>
      <c r="AF17" s="5"/>
      <c r="AG17" s="640"/>
      <c r="AH17" s="10"/>
      <c r="AI17" s="5"/>
      <c r="AJ17" s="57"/>
      <c r="AK17" s="5"/>
      <c r="AL17" s="5"/>
      <c r="AM17" s="5"/>
      <c r="AN17" s="5"/>
      <c r="AO17" s="5"/>
      <c r="AP17" s="5"/>
      <c r="AQ17" s="640"/>
      <c r="AR17" s="10"/>
      <c r="AS17" s="5"/>
      <c r="AT17" s="57"/>
      <c r="AU17" s="5"/>
      <c r="AV17" s="5"/>
      <c r="AW17" s="5"/>
      <c r="AX17" s="5"/>
      <c r="AY17" s="5"/>
      <c r="AZ17" s="5"/>
      <c r="BA17" s="640"/>
      <c r="BB17" s="10"/>
      <c r="BC17" s="5"/>
      <c r="BD17" s="57"/>
      <c r="BE17" s="5"/>
      <c r="BF17" s="5"/>
      <c r="BG17" s="5"/>
      <c r="BH17" s="5"/>
      <c r="BI17" s="5"/>
      <c r="BJ17" s="5"/>
      <c r="BK17" s="640"/>
      <c r="BL17" s="10"/>
      <c r="BM17" s="5"/>
      <c r="BN17" s="57"/>
      <c r="BO17" s="5"/>
      <c r="BP17" s="5"/>
      <c r="BQ17" s="5"/>
      <c r="BR17" s="5"/>
      <c r="BS17" s="5"/>
      <c r="BT17" s="5"/>
      <c r="BU17" s="640"/>
      <c r="BV17" s="10"/>
      <c r="BW17" s="5"/>
      <c r="BX17" s="57"/>
      <c r="BY17" s="5"/>
      <c r="BZ17" s="5"/>
      <c r="CA17" s="5"/>
      <c r="CB17" s="5"/>
      <c r="CC17" s="5"/>
      <c r="CD17" s="5"/>
      <c r="CE17" s="640"/>
    </row>
    <row r="18" spans="1:83" s="207" customFormat="1" ht="14.25" customHeight="1">
      <c r="A18" s="650" t="s">
        <v>564</v>
      </c>
      <c r="B18" s="342" t="s">
        <v>46</v>
      </c>
      <c r="C18" s="651" t="s">
        <v>565</v>
      </c>
      <c r="D18" s="652" t="str" cm="1">
        <f t="array" ref="D18">IF(D$5&lt;&gt;"",INDEX(Parameter!$G$174:$G$192,MATCH(1,COUNTIFS(D5,Parameter!$A$174:$A$192,D6,Parameter!$C$174:$C$192,D8,Parameter!$B$174:$B$192),0))*INDEX(Parameter!$H$174:$H$192,MATCH(1,COUNTIFS(D5,Parameter!$A$174:$A$192,D6,Parameter!$C$174:$C$192,D8,Parameter!$B$174:$B$192),0))*9.81*1000,"")</f>
        <v/>
      </c>
      <c r="E18" s="653" t="str" cm="1">
        <f t="array" ref="E18">IF(E$5&lt;&gt;"",INDEX(Parameter!$G$174:$G$192,MATCH(1,COUNTIFS(E5,Parameter!$A$174:$A$192,E6,Parameter!$C$174:$C$192,E8,Parameter!$B$174:$B$192),0))*INDEX(Parameter!$H$174:$H$192,MATCH(1,COUNTIFS(E5,Parameter!$A$174:$A$192,E6,Parameter!$C$174:$C$192,E8,Parameter!$B$174:$B$192),0))*9.81*1000,"")</f>
        <v/>
      </c>
      <c r="F18" s="653" t="str" cm="1">
        <f t="array" ref="F18">IF(F$5&lt;&gt;"",INDEX(Parameter!$G$174:$G$192,MATCH(1,COUNTIFS(F5,Parameter!$A$174:$A$192,F6,Parameter!$C$174:$C$192,F8,Parameter!$B$174:$B$192),0))*INDEX(Parameter!$H$174:$H$192,MATCH(1,COUNTIFS(F5,Parameter!$A$174:$A$192,F6,Parameter!$C$174:$C$192,F8,Parameter!$B$174:$B$192),0))*9.81*1000,"")</f>
        <v/>
      </c>
      <c r="G18" s="653" t="str" cm="1">
        <f t="array" ref="G18">IF(G$5&lt;&gt;"",INDEX(Parameter!$G$174:$G$192,MATCH(1,COUNTIFS(G5,Parameter!$A$174:$A$192,G6,Parameter!$C$174:$C$192,G8,Parameter!$B$174:$B$192),0))*INDEX(Parameter!$H$174:$H$192,MATCH(1,COUNTIFS(G5,Parameter!$A$174:$A$192,G6,Parameter!$C$174:$C$192,G8,Parameter!$B$174:$B$192),0))*9.81*1000,"")</f>
        <v/>
      </c>
      <c r="H18" s="653" t="str" cm="1">
        <f t="array" ref="H18">IF(H$5&lt;&gt;"",INDEX(Parameter!$G$174:$G$192,MATCH(1,COUNTIFS(H5,Parameter!$A$174:$A$192,H6,Parameter!$C$174:$C$192,H8,Parameter!$B$174:$B$192),0))*INDEX(Parameter!$H$174:$H$192,MATCH(1,COUNTIFS(H5,Parameter!$A$174:$A$192,H6,Parameter!$C$174:$C$192,H8,Parameter!$B$174:$B$192),0))*9.81*1000,"")</f>
        <v/>
      </c>
      <c r="I18" s="653" t="str" cm="1">
        <f t="array" ref="I18">IF(I$5&lt;&gt;"",INDEX(Parameter!$G$174:$G$192,MATCH(1,COUNTIFS(I5,Parameter!$A$174:$A$192,I6,Parameter!$C$174:$C$192,I8,Parameter!$B$174:$B$192),0))*INDEX(Parameter!$H$174:$H$192,MATCH(1,COUNTIFS(I5,Parameter!$A$174:$A$192,I6,Parameter!$C$174:$C$192,I8,Parameter!$B$174:$B$192),0))*9.81*1000,"")</f>
        <v/>
      </c>
      <c r="J18" s="653" t="str" cm="1">
        <f t="array" ref="J18">IF(J$5&lt;&gt;"",INDEX(Parameter!$G$174:$G$192,MATCH(1,COUNTIFS(J5,Parameter!$A$174:$A$192,J6,Parameter!$C$174:$C$192,J8,Parameter!$B$174:$B$192),0))*INDEX(Parameter!$H$174:$H$192,MATCH(1,COUNTIFS(J5,Parameter!$A$174:$A$192,J6,Parameter!$C$174:$C$192,J8,Parameter!$B$174:$B$192),0))*9.81*1000,"")</f>
        <v/>
      </c>
      <c r="K18" s="653" t="str" cm="1">
        <f t="array" ref="K18">IF(K$5&lt;&gt;"",INDEX(Parameter!$G$174:$G$192,MATCH(1,COUNTIFS(K5,Parameter!$A$174:$A$192,K6,Parameter!$C$174:$C$192,K8,Parameter!$B$174:$B$192),0))*INDEX(Parameter!$H$174:$H$192,MATCH(1,COUNTIFS(K5,Parameter!$A$174:$A$192,K6,Parameter!$C$174:$C$192,K8,Parameter!$B$174:$B$192),0))*9.81*1000,"")</f>
        <v/>
      </c>
      <c r="L18" s="653" t="str" cm="1">
        <f t="array" ref="L18">IF(L$5&lt;&gt;"",INDEX(Parameter!$G$174:$G$192,MATCH(1,COUNTIFS(L5,Parameter!$A$174:$A$192,L6,Parameter!$C$174:$C$192,L8,Parameter!$B$174:$B$192),0))*INDEX(Parameter!$H$174:$H$192,MATCH(1,COUNTIFS(L5,Parameter!$A$174:$A$192,L6,Parameter!$C$174:$C$192,L8,Parameter!$B$174:$B$192),0))*9.81*1000,"")</f>
        <v/>
      </c>
      <c r="M18" s="654" t="str" cm="1">
        <f t="array" ref="M18">IF(M$5&lt;&gt;"",INDEX(Parameter!$G$174:$G$192,MATCH(1,COUNTIFS(M5,Parameter!$A$174:$A$192,M6,Parameter!$C$174:$C$192,M8,Parameter!$B$174:$B$192),0))*INDEX(Parameter!$H$174:$H$192,MATCH(1,COUNTIFS(M5,Parameter!$A$174:$A$192,M6,Parameter!$C$174:$C$192,M8,Parameter!$B$174:$B$192),0))*9.81*1000,"")</f>
        <v/>
      </c>
      <c r="N18" s="652" t="str">
        <f>IF(N$5&lt;&gt;"",$D18,"")</f>
        <v/>
      </c>
      <c r="O18" s="653" t="str">
        <f>IF(O$5&lt;&gt;"",$E18,"")</f>
        <v/>
      </c>
      <c r="P18" s="653" t="str">
        <f>IF(P$5&lt;&gt;"",$F18,"")</f>
        <v/>
      </c>
      <c r="Q18" s="653" t="str">
        <f>IF(Q$5&lt;&gt;"",$G18,"")</f>
        <v/>
      </c>
      <c r="R18" s="653" t="str">
        <f>IF(R$5&lt;&gt;"",$H18,"")</f>
        <v/>
      </c>
      <c r="S18" s="653" t="str">
        <f>IF(S$5&lt;&gt;"",$I18,"")</f>
        <v/>
      </c>
      <c r="T18" s="653" t="str">
        <f>IF(T$5&lt;&gt;"",$J18,"")</f>
        <v/>
      </c>
      <c r="U18" s="653" t="str">
        <f>IF(U$5&lt;&gt;"",$K18,"")</f>
        <v/>
      </c>
      <c r="V18" s="653" t="str">
        <f>IF(V$5&lt;&gt;"",$L18,"")</f>
        <v/>
      </c>
      <c r="W18" s="654" t="str">
        <f>IF(W$5&lt;&gt;"",$M18,"")</f>
        <v/>
      </c>
      <c r="X18" s="652" t="str">
        <f>IF(X$5&lt;&gt;"",$D18,"")</f>
        <v/>
      </c>
      <c r="Y18" s="653" t="str">
        <f>IF(Y$5&lt;&gt;"",$E18,"")</f>
        <v/>
      </c>
      <c r="Z18" s="653" t="str">
        <f>IF(Z$5&lt;&gt;"",$F18,"")</f>
        <v/>
      </c>
      <c r="AA18" s="653" t="str">
        <f>IF(AA$5&lt;&gt;"",$G18,"")</f>
        <v/>
      </c>
      <c r="AB18" s="653" t="str">
        <f>IF(AB$5&lt;&gt;"",$H18,"")</f>
        <v/>
      </c>
      <c r="AC18" s="653" t="str">
        <f>IF(AC$5&lt;&gt;"",$I18,"")</f>
        <v/>
      </c>
      <c r="AD18" s="653" t="str">
        <f>IF(AD$5&lt;&gt;"",$J18,"")</f>
        <v/>
      </c>
      <c r="AE18" s="653" t="str">
        <f>IF(AE$5&lt;&gt;"",$K18,"")</f>
        <v/>
      </c>
      <c r="AF18" s="653" t="str">
        <f>IF(AF$5&lt;&gt;"",$L18,"")</f>
        <v/>
      </c>
      <c r="AG18" s="654" t="str">
        <f>IF(AG$5&lt;&gt;"",$M18,"")</f>
        <v/>
      </c>
      <c r="AH18" s="652" t="str">
        <f>IF(AH$5&lt;&gt;"",$D18,"")</f>
        <v/>
      </c>
      <c r="AI18" s="653" t="str">
        <f>IF(AI$5&lt;&gt;"",$E18,"")</f>
        <v/>
      </c>
      <c r="AJ18" s="653" t="str">
        <f>IF(AJ$5&lt;&gt;"",$F18,"")</f>
        <v/>
      </c>
      <c r="AK18" s="653" t="str">
        <f>IF(AK$5&lt;&gt;"",$G18,"")</f>
        <v/>
      </c>
      <c r="AL18" s="653" t="str">
        <f>IF(AL$5&lt;&gt;"",$H18,"")</f>
        <v/>
      </c>
      <c r="AM18" s="653" t="str">
        <f>IF(AM$5&lt;&gt;"",$I18,"")</f>
        <v/>
      </c>
      <c r="AN18" s="653" t="str">
        <f>IF(AN$5&lt;&gt;"",$J18,"")</f>
        <v/>
      </c>
      <c r="AO18" s="653" t="str">
        <f>IF(AO$5&lt;&gt;"",$K18,"")</f>
        <v/>
      </c>
      <c r="AP18" s="653" t="str">
        <f>IF(AP$5&lt;&gt;"",$L18,"")</f>
        <v/>
      </c>
      <c r="AQ18" s="654" t="str">
        <f>IF(AQ$5&lt;&gt;"",$M18,"")</f>
        <v/>
      </c>
      <c r="AR18" s="652" t="str">
        <f>IF(AR$5&lt;&gt;"",$D18,"")</f>
        <v/>
      </c>
      <c r="AS18" s="653" t="str">
        <f>IF(AS$5&lt;&gt;"",$E18,"")</f>
        <v/>
      </c>
      <c r="AT18" s="653" t="str">
        <f>IF(AT$5&lt;&gt;"",$F18,"")</f>
        <v/>
      </c>
      <c r="AU18" s="653" t="str">
        <f>IF(AU$5&lt;&gt;"",$G18,"")</f>
        <v/>
      </c>
      <c r="AV18" s="653" t="str">
        <f>IF(AV$5&lt;&gt;"",$H18,"")</f>
        <v/>
      </c>
      <c r="AW18" s="653" t="str">
        <f>IF(AW$5&lt;&gt;"",$I18,"")</f>
        <v/>
      </c>
      <c r="AX18" s="653" t="str">
        <f>IF(AX$5&lt;&gt;"",$J18,"")</f>
        <v/>
      </c>
      <c r="AY18" s="653" t="str">
        <f>IF(AY$5&lt;&gt;"",$K18,"")</f>
        <v/>
      </c>
      <c r="AZ18" s="653" t="str">
        <f>IF(AZ$5&lt;&gt;"",$L18,"")</f>
        <v/>
      </c>
      <c r="BA18" s="654" t="str">
        <f>IF(BA$5&lt;&gt;"",$M18,"")</f>
        <v/>
      </c>
      <c r="BB18" s="652" t="str">
        <f>IF(BB$5&lt;&gt;"",$D18,"")</f>
        <v/>
      </c>
      <c r="BC18" s="653" t="str">
        <f>IF(BC$5&lt;&gt;"",$E18,"")</f>
        <v/>
      </c>
      <c r="BD18" s="653" t="str">
        <f>IF(BD$5&lt;&gt;"",$F18,"")</f>
        <v/>
      </c>
      <c r="BE18" s="653" t="str">
        <f>IF(BE$5&lt;&gt;"",$G18,"")</f>
        <v/>
      </c>
      <c r="BF18" s="653" t="str">
        <f>IF(BF$5&lt;&gt;"",$H18,"")</f>
        <v/>
      </c>
      <c r="BG18" s="653" t="str">
        <f>IF(BG$5&lt;&gt;"",$I18,"")</f>
        <v/>
      </c>
      <c r="BH18" s="653" t="str">
        <f>IF(BH$5&lt;&gt;"",$J18,"")</f>
        <v/>
      </c>
      <c r="BI18" s="653" t="str">
        <f>IF(BI$5&lt;&gt;"",$K18,"")</f>
        <v/>
      </c>
      <c r="BJ18" s="653" t="str">
        <f>IF(BJ$5&lt;&gt;"",$L18,"")</f>
        <v/>
      </c>
      <c r="BK18" s="654" t="str">
        <f>IF(BK$5&lt;&gt;"",$M18,"")</f>
        <v/>
      </c>
      <c r="BL18" s="652" t="str">
        <f>IF(BL$5&lt;&gt;"",$D18,"")</f>
        <v/>
      </c>
      <c r="BM18" s="653" t="str">
        <f>IF(BM$5&lt;&gt;"",$E18,"")</f>
        <v/>
      </c>
      <c r="BN18" s="653" t="str">
        <f>IF(BN$5&lt;&gt;"",$F18,"")</f>
        <v/>
      </c>
      <c r="BO18" s="653" t="str">
        <f>IF(BO$5&lt;&gt;"",$G18,"")</f>
        <v/>
      </c>
      <c r="BP18" s="653" t="str">
        <f>IF(BP$5&lt;&gt;"",$H18,"")</f>
        <v/>
      </c>
      <c r="BQ18" s="653" t="str">
        <f>IF(BQ$5&lt;&gt;"",$I18,"")</f>
        <v/>
      </c>
      <c r="BR18" s="653" t="str">
        <f>IF(BR$5&lt;&gt;"",$J18,"")</f>
        <v/>
      </c>
      <c r="BS18" s="653" t="str">
        <f>IF(BS$5&lt;&gt;"",$K18,"")</f>
        <v/>
      </c>
      <c r="BT18" s="653" t="str">
        <f>IF(BT$5&lt;&gt;"",$L18,"")</f>
        <v/>
      </c>
      <c r="BU18" s="654" t="str">
        <f>IF(BU$5&lt;&gt;"",$M18,"")</f>
        <v/>
      </c>
      <c r="BV18" s="652" t="str">
        <f>IF(BV$5&lt;&gt;"",$D18,"")</f>
        <v/>
      </c>
      <c r="BW18" s="653" t="str">
        <f>IF(BW$5&lt;&gt;"",$E18,"")</f>
        <v/>
      </c>
      <c r="BX18" s="653" t="str">
        <f>IF(BX$5&lt;&gt;"",$F18,"")</f>
        <v/>
      </c>
      <c r="BY18" s="653" t="str">
        <f>IF(BY$5&lt;&gt;"",$G18,"")</f>
        <v/>
      </c>
      <c r="BZ18" s="653" t="str">
        <f>IF(BZ$5&lt;&gt;"",$H18,"")</f>
        <v/>
      </c>
      <c r="CA18" s="653" t="str">
        <f>IF(CA$5&lt;&gt;"",$I18,"")</f>
        <v/>
      </c>
      <c r="CB18" s="653" t="str">
        <f>IF(CB$5&lt;&gt;"",$J18,"")</f>
        <v/>
      </c>
      <c r="CC18" s="653" t="str">
        <f>IF(CC$5&lt;&gt;"",$K18,"")</f>
        <v/>
      </c>
      <c r="CD18" s="653" t="str">
        <f>IF(CD$5&lt;&gt;"",$L18,"")</f>
        <v/>
      </c>
      <c r="CE18" s="654" t="str">
        <f>IF(CE$5&lt;&gt;"",$M18,"")</f>
        <v/>
      </c>
    </row>
    <row r="19" spans="1:83" s="207" customFormat="1" ht="14.25" customHeight="1">
      <c r="A19" s="908" t="s">
        <v>566</v>
      </c>
      <c r="B19" s="909" t="s">
        <v>619</v>
      </c>
      <c r="C19" s="910" t="s">
        <v>565</v>
      </c>
      <c r="D19" s="911" t="str">
        <f>IF(D5&lt;&gt;"",(MIN(Betriebsdaten!$E$11,HLOOKUP(D5,Parameter!$C$157:$J$163,7,FALSE))^2+MIN(Betriebsdaten!$F$11,HLOOKUP(D5,Parameter!$C$157:$J$163,7,FALSE))^2)/2*D15*D16*D12,"")</f>
        <v/>
      </c>
      <c r="E19" s="912" t="str">
        <f>IF(E5&lt;&gt;"",(MIN(Betriebsdaten!$E$11,HLOOKUP(E5,Parameter!$C$157:$J$163,7,FALSE))^2+MIN(Betriebsdaten!$F$11,HLOOKUP(E5,Parameter!$C$157:$J$163,7,FALSE))^2)/2*E15*E16*E12,"")</f>
        <v/>
      </c>
      <c r="F19" s="912" t="str">
        <f>IF(F5&lt;&gt;"",(MIN(Betriebsdaten!$E$11,HLOOKUP(F5,Parameter!$C$157:$J$163,7,FALSE))^2+MIN(Betriebsdaten!$F$11,HLOOKUP(F5,Parameter!$C$157:$J$163,7,FALSE))^2)/2*F15*F16*F12,"")</f>
        <v/>
      </c>
      <c r="G19" s="912" t="str">
        <f>IF(G5&lt;&gt;"",(MIN(Betriebsdaten!$E$11,HLOOKUP(G5,Parameter!$C$157:$J$163,7,FALSE))^2+MIN(Betriebsdaten!$F$11,HLOOKUP(G5,Parameter!$C$157:$J$163,7,FALSE))^2)/2*G15*G16*G12,"")</f>
        <v/>
      </c>
      <c r="H19" s="912" t="str">
        <f>IF(H5&lt;&gt;"",(MIN(Betriebsdaten!$E$11,HLOOKUP(H5,Parameter!$C$157:$J$163,7,FALSE))^2+MIN(Betriebsdaten!$F$11,HLOOKUP(H5,Parameter!$C$157:$J$163,7,FALSE))^2)/2*H15*H16*H12,"")</f>
        <v/>
      </c>
      <c r="I19" s="912" t="str">
        <f>IF(I5&lt;&gt;"",(MIN(Betriebsdaten!$E$11,HLOOKUP(I5,Parameter!$C$157:$J$163,7,FALSE))^2+MIN(Betriebsdaten!$F$11,HLOOKUP(I5,Parameter!$C$157:$J$163,7,FALSE))^2)/2*I15*I16*I12,"")</f>
        <v/>
      </c>
      <c r="J19" s="912" t="str">
        <f>IF(J5&lt;&gt;"",(MIN(Betriebsdaten!$E$11,HLOOKUP(J5,Parameter!$C$157:$J$163,7,FALSE))^2+MIN(Betriebsdaten!$F$11,HLOOKUP(J5,Parameter!$C$157:$J$163,7,FALSE))^2)/2*J15*J16*J12,"")</f>
        <v/>
      </c>
      <c r="K19" s="912" t="str">
        <f>IF(K5&lt;&gt;"",(MIN(Betriebsdaten!$E$11,HLOOKUP(K5,Parameter!$C$157:$J$163,7,FALSE))^2+MIN(Betriebsdaten!$F$11,HLOOKUP(K5,Parameter!$C$157:$J$163,7,FALSE))^2)/2*K15*K16*K12,"")</f>
        <v/>
      </c>
      <c r="L19" s="912" t="str">
        <f>IF(L5&lt;&gt;"",(MIN(Betriebsdaten!$E$11,HLOOKUP(L5,Parameter!$C$157:$J$163,7,FALSE))^2+MIN(Betriebsdaten!$F$11,HLOOKUP(L5,Parameter!$C$157:$J$163,7,FALSE))^2)/2*L15*L16*L12,"")</f>
        <v/>
      </c>
      <c r="M19" s="913" t="str">
        <f>IF(M5&lt;&gt;"",(MIN(Betriebsdaten!$E$11,HLOOKUP(M5,Parameter!$C$157:$J$163,7,FALSE))^2+MIN(Betriebsdaten!$F$11,HLOOKUP(M5,Parameter!$C$157:$J$163,7,FALSE))^2)/2*M15*M16*M12,"")</f>
        <v/>
      </c>
      <c r="N19" s="911" t="str">
        <f>IF(N5&lt;&gt;"",(MIN(Betriebsdaten!$F$11,HLOOKUP(N5,Parameter!$C$157:$J$163,7,FALSE))^2+MIN(Betriebsdaten!$G$11,HLOOKUP(N5,Parameter!$C$157:$J$163,7,FALSE))^2)/2*N15*N16*N12,"")</f>
        <v/>
      </c>
      <c r="O19" s="912" t="str">
        <f>IF(O5&lt;&gt;"",(MIN(Betriebsdaten!$F$11,HLOOKUP(O5,Parameter!$C$157:$J$163,7,FALSE))^2+MIN(Betriebsdaten!$G$11,HLOOKUP(O5,Parameter!$C$157:$J$163,7,FALSE))^2)/2*O15*O16*O12,"")</f>
        <v/>
      </c>
      <c r="P19" s="912" t="str">
        <f>IF(P5&lt;&gt;"",(MIN(Betriebsdaten!$F$11,HLOOKUP(P5,Parameter!$C$157:$J$163,7,FALSE))^2+MIN(Betriebsdaten!$G$11,HLOOKUP(P5,Parameter!$C$157:$J$163,7,FALSE))^2)/2*P15*P16*P12,"")</f>
        <v/>
      </c>
      <c r="Q19" s="912" t="str">
        <f>IF(Q5&lt;&gt;"",(MIN(Betriebsdaten!$F$11,HLOOKUP(Q5,Parameter!$C$157:$J$163,7,FALSE))^2+MIN(Betriebsdaten!$G$11,HLOOKUP(Q5,Parameter!$C$157:$J$163,7,FALSE))^2)/2*Q15*Q16*Q12,"")</f>
        <v/>
      </c>
      <c r="R19" s="912" t="str">
        <f>IF(R5&lt;&gt;"",(MIN(Betriebsdaten!$F$11,HLOOKUP(R5,Parameter!$C$157:$J$163,7,FALSE))^2+MIN(Betriebsdaten!$G$11,HLOOKUP(R5,Parameter!$C$157:$J$163,7,FALSE))^2)/2*R15*R16*R12,"")</f>
        <v/>
      </c>
      <c r="S19" s="912" t="str">
        <f>IF(S5&lt;&gt;"",(MIN(Betriebsdaten!$F$11,HLOOKUP(S5,Parameter!$C$157:$J$163,7,FALSE))^2+MIN(Betriebsdaten!$G$11,HLOOKUP(S5,Parameter!$C$157:$J$163,7,FALSE))^2)/2*S15*S16*S12,"")</f>
        <v/>
      </c>
      <c r="T19" s="912" t="str">
        <f>IF(T5&lt;&gt;"",(MIN(Betriebsdaten!$F$11,HLOOKUP(T5,Parameter!$C$157:$J$163,7,FALSE))^2+MIN(Betriebsdaten!$G$11,HLOOKUP(T5,Parameter!$C$157:$J$163,7,FALSE))^2)/2*T15*T16*T12,"")</f>
        <v/>
      </c>
      <c r="U19" s="912" t="str">
        <f>IF(U5&lt;&gt;"",(MIN(Betriebsdaten!$F$11,HLOOKUP(U5,Parameter!$C$157:$J$163,7,FALSE))^2+MIN(Betriebsdaten!$G$11,HLOOKUP(U5,Parameter!$C$157:$J$163,7,FALSE))^2)/2*U15*U16*U12,"")</f>
        <v/>
      </c>
      <c r="V19" s="912" t="str">
        <f>IF(V5&lt;&gt;"",(MIN(Betriebsdaten!$F$11,HLOOKUP(V5,Parameter!$C$157:$J$163,7,FALSE))^2+MIN(Betriebsdaten!$G$11,HLOOKUP(V5,Parameter!$C$157:$J$163,7,FALSE))^2)/2*V15*V16*V12,"")</f>
        <v/>
      </c>
      <c r="W19" s="913" t="str">
        <f>IF(W5&lt;&gt;"",(MIN(Betriebsdaten!$F$11,HLOOKUP(W5,Parameter!$C$157:$J$163,7,FALSE))^2+MIN(Betriebsdaten!$G$11,HLOOKUP(W5,Parameter!$C$157:$J$163,7,FALSE))^2)/2*W15*W16*W12,"")</f>
        <v/>
      </c>
      <c r="X19" s="911" t="str">
        <f>IF(X5&lt;&gt;"",(MIN(Betriebsdaten!$G$11,HLOOKUP(X5,Parameter!$C$157:$J$163,7,FALSE))^2+MIN(Betriebsdaten!$H$11,HLOOKUP(X5,Parameter!$C$157:$J$163,7,FALSE))^2)/2*X15*X16*X12,"")</f>
        <v/>
      </c>
      <c r="Y19" s="912" t="str">
        <f>IF(Y5&lt;&gt;"",(MIN(Betriebsdaten!$G$11,HLOOKUP(Y5,Parameter!$C$157:$J$163,7,FALSE))^2+MIN(Betriebsdaten!$H$11,HLOOKUP(Y5,Parameter!$C$157:$J$163,7,FALSE))^2)/2*Y15*Y16*Y12,"")</f>
        <v/>
      </c>
      <c r="Z19" s="912" t="str">
        <f>IF(Z5&lt;&gt;"",(MIN(Betriebsdaten!$G$11,HLOOKUP(Z5,Parameter!$C$157:$J$163,7,FALSE))^2+MIN(Betriebsdaten!$H$11,HLOOKUP(Z5,Parameter!$C$157:$J$163,7,FALSE))^2)/2*Z15*Z16*Z12,"")</f>
        <v/>
      </c>
      <c r="AA19" s="912" t="str">
        <f>IF(AA5&lt;&gt;"",(MIN(Betriebsdaten!$G$11,HLOOKUP(AA5,Parameter!$C$157:$J$163,7,FALSE))^2+MIN(Betriebsdaten!$H$11,HLOOKUP(AA5,Parameter!$C$157:$J$163,7,FALSE))^2)/2*AA15*AA16*AA12,"")</f>
        <v/>
      </c>
      <c r="AB19" s="912" t="str">
        <f>IF(AB5&lt;&gt;"",(MIN(Betriebsdaten!$G$11,HLOOKUP(AB5,Parameter!$C$157:$J$163,7,FALSE))^2+MIN(Betriebsdaten!$H$11,HLOOKUP(AB5,Parameter!$C$157:$J$163,7,FALSE))^2)/2*AB15*AB16*AB12,"")</f>
        <v/>
      </c>
      <c r="AC19" s="912" t="str">
        <f>IF(AC5&lt;&gt;"",(MIN(Betriebsdaten!$G$11,HLOOKUP(AC5,Parameter!$C$157:$J$163,7,FALSE))^2+MIN(Betriebsdaten!$H$11,HLOOKUP(AC5,Parameter!$C$157:$J$163,7,FALSE))^2)/2*AC15*AC16*AC12,"")</f>
        <v/>
      </c>
      <c r="AD19" s="912" t="str">
        <f>IF(AD5&lt;&gt;"",(MIN(Betriebsdaten!$G$11,HLOOKUP(AD5,Parameter!$C$157:$J$163,7,FALSE))^2+MIN(Betriebsdaten!$H$11,HLOOKUP(AD5,Parameter!$C$157:$J$163,7,FALSE))^2)/2*AD15*AD16*AD12,"")</f>
        <v/>
      </c>
      <c r="AE19" s="912" t="str">
        <f>IF(AE5&lt;&gt;"",(MIN(Betriebsdaten!$G$11,HLOOKUP(AE5,Parameter!$C$157:$J$163,7,FALSE))^2+MIN(Betriebsdaten!$H$11,HLOOKUP(AE5,Parameter!$C$157:$J$163,7,FALSE))^2)/2*AE15*AE16*AE12,"")</f>
        <v/>
      </c>
      <c r="AF19" s="912" t="str">
        <f>IF(AF5&lt;&gt;"",(MIN(Betriebsdaten!$G$11,HLOOKUP(AF5,Parameter!$C$157:$J$163,7,FALSE))^2+MIN(Betriebsdaten!$H$11,HLOOKUP(AF5,Parameter!$C$157:$J$163,7,FALSE))^2)/2*AF15*AF16*AF12,"")</f>
        <v/>
      </c>
      <c r="AG19" s="913" t="str">
        <f>IF(AG5&lt;&gt;"",(MIN(Betriebsdaten!$G$11,HLOOKUP(AG5,Parameter!$C$157:$J$163,7,FALSE))^2+MIN(Betriebsdaten!$H$11,HLOOKUP(AG5,Parameter!$C$157:$J$163,7,FALSE))^2)/2*AG15*AG16*AG12,"")</f>
        <v/>
      </c>
      <c r="AH19" s="911" t="str">
        <f>IF(AH5&lt;&gt;"",(MIN(Betriebsdaten!$H$11,HLOOKUP(AH5,Parameter!$C$157:$J$163,7,FALSE))^2+MIN(Betriebsdaten!$I$11,HLOOKUP(AH5,Parameter!$C$157:$J$163,7,FALSE))^2)/2*AH15*AH16*AH12,"")</f>
        <v/>
      </c>
      <c r="AI19" s="912" t="str">
        <f>IF(AI5&lt;&gt;"",(MIN(Betriebsdaten!$H$11,HLOOKUP(AI5,Parameter!$C$157:$J$163,7,FALSE))^2+MIN(Betriebsdaten!$I$11,HLOOKUP(AI5,Parameter!$C$157:$J$163,7,FALSE))^2)/2*AI15*AI16*AI12,"")</f>
        <v/>
      </c>
      <c r="AJ19" s="912" t="str">
        <f>IF(AJ5&lt;&gt;"",(MIN(Betriebsdaten!$H$11,HLOOKUP(AJ5,Parameter!$C$157:$J$163,7,FALSE))^2+MIN(Betriebsdaten!$I$11,HLOOKUP(AJ5,Parameter!$C$157:$J$163,7,FALSE))^2)/2*AJ15*AJ16*AJ12,"")</f>
        <v/>
      </c>
      <c r="AK19" s="912" t="str">
        <f>IF(AK5&lt;&gt;"",(MIN(Betriebsdaten!$H$11,HLOOKUP(AK5,Parameter!$C$157:$J$163,7,FALSE))^2+MIN(Betriebsdaten!$I$11,HLOOKUP(AK5,Parameter!$C$157:$J$163,7,FALSE))^2)/2*AK15*AK16*AK12,"")</f>
        <v/>
      </c>
      <c r="AL19" s="912" t="str">
        <f>IF(AL5&lt;&gt;"",(MIN(Betriebsdaten!$H$11,HLOOKUP(AL5,Parameter!$C$157:$J$163,7,FALSE))^2+MIN(Betriebsdaten!$I$11,HLOOKUP(AL5,Parameter!$C$157:$J$163,7,FALSE))^2)/2*AL15*AL16*AL12,"")</f>
        <v/>
      </c>
      <c r="AM19" s="912" t="str">
        <f>IF(AM5&lt;&gt;"",(MIN(Betriebsdaten!$H$11,HLOOKUP(AM5,Parameter!$C$157:$J$163,7,FALSE))^2+MIN(Betriebsdaten!$I$11,HLOOKUP(AM5,Parameter!$C$157:$J$163,7,FALSE))^2)/2*AM15*AM16*AM12,"")</f>
        <v/>
      </c>
      <c r="AN19" s="912" t="str">
        <f>IF(AN5&lt;&gt;"",(MIN(Betriebsdaten!$H$11,HLOOKUP(AN5,Parameter!$C$157:$J$163,7,FALSE))^2+MIN(Betriebsdaten!$I$11,HLOOKUP(AN5,Parameter!$C$157:$J$163,7,FALSE))^2)/2*AN15*AN16*AN12,"")</f>
        <v/>
      </c>
      <c r="AO19" s="912" t="str">
        <f>IF(AO5&lt;&gt;"",(MIN(Betriebsdaten!$H$11,HLOOKUP(AO5,Parameter!$C$157:$J$163,7,FALSE))^2+MIN(Betriebsdaten!$I$11,HLOOKUP(AO5,Parameter!$C$157:$J$163,7,FALSE))^2)/2*AO15*AO16*AO12,"")</f>
        <v/>
      </c>
      <c r="AP19" s="912" t="str">
        <f>IF(AP5&lt;&gt;"",(MIN(Betriebsdaten!$H$11,HLOOKUP(AP5,Parameter!$C$157:$J$163,7,FALSE))^2+MIN(Betriebsdaten!$I$11,HLOOKUP(AP5,Parameter!$C$157:$J$163,7,FALSE))^2)/2*AP15*AP16*AP12,"")</f>
        <v/>
      </c>
      <c r="AQ19" s="913" t="str">
        <f>IF(AQ5&lt;&gt;"",(MIN(Betriebsdaten!$H$11,HLOOKUP(AQ5,Parameter!$C$157:$J$163,7,FALSE))^2+MIN(Betriebsdaten!$I$11,HLOOKUP(AQ5,Parameter!$C$157:$J$163,7,FALSE))^2)/2*AQ15*AQ16*AQ12,"")</f>
        <v/>
      </c>
      <c r="AR19" s="911" t="str">
        <f>IF(AR5&lt;&gt;"",(MIN(Betriebsdaten!$E$14,HLOOKUP(AR5,Parameter!$C$157:$J$163,7,FALSE))^2+MIN(Betriebsdaten!$F$14,HLOOKUP(AR5,Parameter!$C$157:$J$163,7,FALSE))^2)/2*AR15*AR16*AR12,"")</f>
        <v/>
      </c>
      <c r="AS19" s="912" t="str">
        <f>IF(AS5&lt;&gt;"",(MIN(Betriebsdaten!$E$14,HLOOKUP(AS5,Parameter!$C$157:$J$163,7,FALSE))^2+MIN(Betriebsdaten!$F$14,HLOOKUP(AS5,Parameter!$C$157:$J$163,7,FALSE))^2)/2*AS15*AS16*AS12,"")</f>
        <v/>
      </c>
      <c r="AT19" s="912" t="str">
        <f>IF(AT5&lt;&gt;"",(MIN(Betriebsdaten!$E$14,HLOOKUP(AT5,Parameter!$C$157:$J$163,7,FALSE))^2+MIN(Betriebsdaten!$F$14,HLOOKUP(AT5,Parameter!$C$157:$J$163,7,FALSE))^2)/2*AT15*AT16*AT12,"")</f>
        <v/>
      </c>
      <c r="AU19" s="912" t="str">
        <f>IF(AU5&lt;&gt;"",(MIN(Betriebsdaten!$E$14,HLOOKUP(AU5,Parameter!$C$157:$J$163,7,FALSE))^2+MIN(Betriebsdaten!$F$14,HLOOKUP(AU5,Parameter!$C$157:$J$163,7,FALSE))^2)/2*AU15*AU16*AU12,"")</f>
        <v/>
      </c>
      <c r="AV19" s="912" t="str">
        <f>IF(AV5&lt;&gt;"",(MIN(Betriebsdaten!$E$14,HLOOKUP(AV5,Parameter!$C$157:$J$163,7,FALSE))^2+MIN(Betriebsdaten!$F$14,HLOOKUP(AV5,Parameter!$C$157:$J$163,7,FALSE))^2)/2*AV15*AV16*AV12,"")</f>
        <v/>
      </c>
      <c r="AW19" s="912" t="str">
        <f>IF(AW5&lt;&gt;"",(MIN(Betriebsdaten!$E$14,HLOOKUP(AW5,Parameter!$C$157:$J$163,7,FALSE))^2+MIN(Betriebsdaten!$F$14,HLOOKUP(AW5,Parameter!$C$157:$J$163,7,FALSE))^2)/2*AW15*AW16*AW12,"")</f>
        <v/>
      </c>
      <c r="AX19" s="912" t="str">
        <f>IF(AX5&lt;&gt;"",(MIN(Betriebsdaten!$E$14,HLOOKUP(AX5,Parameter!$C$157:$J$163,7,FALSE))^2+MIN(Betriebsdaten!$F$14,HLOOKUP(AX5,Parameter!$C$157:$J$163,7,FALSE))^2)/2*AX15*AX16*AX12,"")</f>
        <v/>
      </c>
      <c r="AY19" s="912" t="str">
        <f>IF(AY5&lt;&gt;"",(MIN(Betriebsdaten!$E$14,HLOOKUP(AY5,Parameter!$C$157:$J$163,7,FALSE))^2+MIN(Betriebsdaten!$F$14,HLOOKUP(AY5,Parameter!$C$157:$J$163,7,FALSE))^2)/2*AY15*AY16*AY12,"")</f>
        <v/>
      </c>
      <c r="AZ19" s="912" t="str">
        <f>IF(AZ5&lt;&gt;"",(MIN(Betriebsdaten!$E$14,HLOOKUP(AZ5,Parameter!$C$157:$J$163,7,FALSE))^2+MIN(Betriebsdaten!$F$14,HLOOKUP(AZ5,Parameter!$C$157:$J$163,7,FALSE))^2)/2*AZ15*AZ16*AZ12,"")</f>
        <v/>
      </c>
      <c r="BA19" s="913" t="str">
        <f>IF(BA5&lt;&gt;"",(MIN(Betriebsdaten!$E$14,HLOOKUP(BA5,Parameter!$C$157:$J$163,7,FALSE))^2+MIN(Betriebsdaten!$F$14,HLOOKUP(BA5,Parameter!$C$157:$J$163,7,FALSE))^2)/2*BA15*BA16*BA12,"")</f>
        <v/>
      </c>
      <c r="BB19" s="911" t="str">
        <f>IF(BB5&lt;&gt;"",(MIN(Betriebsdaten!$F$14,HLOOKUP(BB5,Parameter!$C$157:$J$163,7,FALSE))^2+MIN(Betriebsdaten!$G$14,HLOOKUP(BB5,Parameter!$C$157:$J$163,7,FALSE))^2)/2*BB15*BB16*BB12,"")</f>
        <v/>
      </c>
      <c r="BC19" s="912" t="str">
        <f>IF(BC5&lt;&gt;"",(MIN(Betriebsdaten!$F$14,HLOOKUP(BC5,Parameter!$C$157:$J$163,7,FALSE))^2+MIN(Betriebsdaten!$G$14,HLOOKUP(BC5,Parameter!$C$157:$J$163,7,FALSE))^2)/2*BC15*BC16*BC12,"")</f>
        <v/>
      </c>
      <c r="BD19" s="912" t="str">
        <f>IF(BD5&lt;&gt;"",(MIN(Betriebsdaten!$F$14,HLOOKUP(BD5,Parameter!$C$157:$J$163,7,FALSE))^2+MIN(Betriebsdaten!$G$14,HLOOKUP(BD5,Parameter!$C$157:$J$163,7,FALSE))^2)/2*BD15*BD16*BD12,"")</f>
        <v/>
      </c>
      <c r="BE19" s="912" t="str">
        <f>IF(BE5&lt;&gt;"",(MIN(Betriebsdaten!$F$14,HLOOKUP(BE5,Parameter!$C$157:$J$163,7,FALSE))^2+MIN(Betriebsdaten!$G$14,HLOOKUP(BE5,Parameter!$C$157:$J$163,7,FALSE))^2)/2*BE15*BE16*BE12,"")</f>
        <v/>
      </c>
      <c r="BF19" s="912" t="str">
        <f>IF(BF5&lt;&gt;"",(MIN(Betriebsdaten!$F$14,HLOOKUP(BF5,Parameter!$C$157:$J$163,7,FALSE))^2+MIN(Betriebsdaten!$G$14,HLOOKUP(BF5,Parameter!$C$157:$J$163,7,FALSE))^2)/2*BF15*BF16*BF12,"")</f>
        <v/>
      </c>
      <c r="BG19" s="912" t="str">
        <f>IF(BG5&lt;&gt;"",(MIN(Betriebsdaten!$F$14,HLOOKUP(BG5,Parameter!$C$157:$J$163,7,FALSE))^2+MIN(Betriebsdaten!$G$14,HLOOKUP(BG5,Parameter!$C$157:$J$163,7,FALSE))^2)/2*BG15*BG16*BG12,"")</f>
        <v/>
      </c>
      <c r="BH19" s="912" t="str">
        <f>IF(BH5&lt;&gt;"",(MIN(Betriebsdaten!$F$14,HLOOKUP(BH5,Parameter!$C$157:$J$163,7,FALSE))^2+MIN(Betriebsdaten!$G$14,HLOOKUP(BH5,Parameter!$C$157:$J$163,7,FALSE))^2)/2*BH15*BH16*BH12,"")</f>
        <v/>
      </c>
      <c r="BI19" s="912" t="str">
        <f>IF(BI5&lt;&gt;"",(MIN(Betriebsdaten!$F$14,HLOOKUP(BI5,Parameter!$C$157:$J$163,7,FALSE))^2+MIN(Betriebsdaten!$G$14,HLOOKUP(BI5,Parameter!$C$157:$J$163,7,FALSE))^2)/2*BI15*BI16*BI12,"")</f>
        <v/>
      </c>
      <c r="BJ19" s="912" t="str">
        <f>IF(BJ5&lt;&gt;"",(MIN(Betriebsdaten!$F$14,HLOOKUP(BJ5,Parameter!$C$157:$J$163,7,FALSE))^2+MIN(Betriebsdaten!$G$14,HLOOKUP(BJ5,Parameter!$C$157:$J$163,7,FALSE))^2)/2*BJ15*BJ16*BJ12,"")</f>
        <v/>
      </c>
      <c r="BK19" s="913" t="str">
        <f>IF(BK5&lt;&gt;"",(MIN(Betriebsdaten!$F$14,HLOOKUP(BK5,Parameter!$C$157:$J$163,7,FALSE))^2+MIN(Betriebsdaten!$G$14,HLOOKUP(BK5,Parameter!$C$157:$J$163,7,FALSE))^2)/2*BK15*BK16*BK12,"")</f>
        <v/>
      </c>
      <c r="BL19" s="911" t="str">
        <f>IF(BL5&lt;&gt;"",(MIN(Betriebsdaten!$G$14,HLOOKUP(BL5,Parameter!$C$157:$J$163,7,FALSE))^2+MIN(Betriebsdaten!$H$14,HLOOKUP(BL5,Parameter!$C$157:$J$163,7,FALSE))^2)/2*BL15*BL16*BL12,"")</f>
        <v/>
      </c>
      <c r="BM19" s="912" t="str">
        <f>IF(BM5&lt;&gt;"",(MIN(Betriebsdaten!$G$14,HLOOKUP(BM5,Parameter!$C$157:$J$163,7,FALSE))^2+MIN(Betriebsdaten!$H$14,HLOOKUP(BM5,Parameter!$C$157:$J$163,7,FALSE))^2)/2*BM15*BM16*BM12,"")</f>
        <v/>
      </c>
      <c r="BN19" s="912" t="str">
        <f>IF(BN5&lt;&gt;"",(MIN(Betriebsdaten!$G$14,HLOOKUP(BN5,Parameter!$C$157:$J$163,7,FALSE))^2+MIN(Betriebsdaten!$H$14,HLOOKUP(BN5,Parameter!$C$157:$J$163,7,FALSE))^2)/2*BN15*BN16*BN12,"")</f>
        <v/>
      </c>
      <c r="BO19" s="912" t="str">
        <f>IF(BO5&lt;&gt;"",(MIN(Betriebsdaten!$G$14,HLOOKUP(BO5,Parameter!$C$157:$J$163,7,FALSE))^2+MIN(Betriebsdaten!$H$14,HLOOKUP(BO5,Parameter!$C$157:$J$163,7,FALSE))^2)/2*BO15*BO16*BO12,"")</f>
        <v/>
      </c>
      <c r="BP19" s="912" t="str">
        <f>IF(BP5&lt;&gt;"",(MIN(Betriebsdaten!$G$14,HLOOKUP(BP5,Parameter!$C$157:$J$163,7,FALSE))^2+MIN(Betriebsdaten!$H$14,HLOOKUP(BP5,Parameter!$C$157:$J$163,7,FALSE))^2)/2*BP15*BP16*BP12,"")</f>
        <v/>
      </c>
      <c r="BQ19" s="912" t="str">
        <f>IF(BQ5&lt;&gt;"",(MIN(Betriebsdaten!$G$14,HLOOKUP(BQ5,Parameter!$C$157:$J$163,7,FALSE))^2+MIN(Betriebsdaten!$H$14,HLOOKUP(BQ5,Parameter!$C$157:$J$163,7,FALSE))^2)/2*BQ15*BQ16*BQ12,"")</f>
        <v/>
      </c>
      <c r="BR19" s="912" t="str">
        <f>IF(BR5&lt;&gt;"",(MIN(Betriebsdaten!$G$14,HLOOKUP(BR5,Parameter!$C$157:$J$163,7,FALSE))^2+MIN(Betriebsdaten!$H$14,HLOOKUP(BR5,Parameter!$C$157:$J$163,7,FALSE))^2)/2*BR15*BR16*BR12,"")</f>
        <v/>
      </c>
      <c r="BS19" s="912" t="str">
        <f>IF(BS5&lt;&gt;"",(MIN(Betriebsdaten!$G$14,HLOOKUP(BS5,Parameter!$C$157:$J$163,7,FALSE))^2+MIN(Betriebsdaten!$H$14,HLOOKUP(BS5,Parameter!$C$157:$J$163,7,FALSE))^2)/2*BS15*BS16*BS12,"")</f>
        <v/>
      </c>
      <c r="BT19" s="912" t="str">
        <f>IF(BT5&lt;&gt;"",(MIN(Betriebsdaten!$G$14,HLOOKUP(BT5,Parameter!$C$157:$J$163,7,FALSE))^2+MIN(Betriebsdaten!$H$14,HLOOKUP(BT5,Parameter!$C$157:$J$163,7,FALSE))^2)/2*BT15*BT16*BT12,"")</f>
        <v/>
      </c>
      <c r="BU19" s="913" t="str">
        <f>IF(BU5&lt;&gt;"",(MIN(Betriebsdaten!$G$14,HLOOKUP(BU5,Parameter!$C$157:$J$163,7,FALSE))^2+MIN(Betriebsdaten!$H$14,HLOOKUP(BU5,Parameter!$C$157:$J$163,7,FALSE))^2)/2*BU15*BU16*BU12,"")</f>
        <v/>
      </c>
      <c r="BV19" s="911" t="str">
        <f>IF(BV5&lt;&gt;"",(MIN(Betriebsdaten!$H$14,HLOOKUP(BV5,Parameter!$C$157:$J$163,7,FALSE))^2+MIN(Betriebsdaten!$I$14,HLOOKUP(BV5,Parameter!$C$157:$J$163,7,FALSE))^2)/2*BV15*BV16*BV12,"")</f>
        <v/>
      </c>
      <c r="BW19" s="912" t="str">
        <f>IF(BW5&lt;&gt;"",(MIN(Betriebsdaten!$H$14,HLOOKUP(BW5,Parameter!$C$157:$J$163,7,FALSE))^2+MIN(Betriebsdaten!$I$14,HLOOKUP(BW5,Parameter!$C$157:$J$163,7,FALSE))^2)/2*BW15*BW16*BW12,"")</f>
        <v/>
      </c>
      <c r="BX19" s="912" t="str">
        <f>IF(BX5&lt;&gt;"",(MIN(Betriebsdaten!$H$14,HLOOKUP(BX5,Parameter!$C$157:$J$163,7,FALSE))^2+MIN(Betriebsdaten!$I$14,HLOOKUP(BX5,Parameter!$C$157:$J$163,7,FALSE))^2)/2*BX15*BX16*BX12,"")</f>
        <v/>
      </c>
      <c r="BY19" s="912" t="str">
        <f>IF(BY5&lt;&gt;"",(MIN(Betriebsdaten!$H$14,HLOOKUP(BY5,Parameter!$C$157:$J$163,7,FALSE))^2+MIN(Betriebsdaten!$I$14,HLOOKUP(BY5,Parameter!$C$157:$J$163,7,FALSE))^2)/2*BY15*BY16*BY12,"")</f>
        <v/>
      </c>
      <c r="BZ19" s="912" t="str">
        <f>IF(BZ5&lt;&gt;"",(MIN(Betriebsdaten!$H$14,HLOOKUP(BZ5,Parameter!$C$157:$J$163,7,FALSE))^2+MIN(Betriebsdaten!$I$14,HLOOKUP(BZ5,Parameter!$C$157:$J$163,7,FALSE))^2)/2*BZ15*BZ16*BZ12,"")</f>
        <v/>
      </c>
      <c r="CA19" s="912" t="str">
        <f>IF(CA5&lt;&gt;"",(MIN(Betriebsdaten!$H$14,HLOOKUP(CA5,Parameter!$C$157:$J$163,7,FALSE))^2+MIN(Betriebsdaten!$I$14,HLOOKUP(CA5,Parameter!$C$157:$J$163,7,FALSE))^2)/2*CA15*CA16*CA12,"")</f>
        <v/>
      </c>
      <c r="CB19" s="912" t="str">
        <f>IF(CB5&lt;&gt;"",(MIN(Betriebsdaten!$H$14,HLOOKUP(CB5,Parameter!$C$157:$J$163,7,FALSE))^2+MIN(Betriebsdaten!$I$14,HLOOKUP(CB5,Parameter!$C$157:$J$163,7,FALSE))^2)/2*CB15*CB16*CB12,"")</f>
        <v/>
      </c>
      <c r="CC19" s="912" t="str">
        <f>IF(CC5&lt;&gt;"",(MIN(Betriebsdaten!$H$14,HLOOKUP(CC5,Parameter!$C$157:$J$163,7,FALSE))^2+MIN(Betriebsdaten!$I$14,HLOOKUP(CC5,Parameter!$C$157:$J$163,7,FALSE))^2)/2*CC15*CC16*CC12,"")</f>
        <v/>
      </c>
      <c r="CD19" s="912" t="str">
        <f>IF(CD5&lt;&gt;"",(MIN(Betriebsdaten!$H$14,HLOOKUP(CD5,Parameter!$C$157:$J$163,7,FALSE))^2+MIN(Betriebsdaten!$I$14,HLOOKUP(CD5,Parameter!$C$157:$J$163,7,FALSE))^2)/2*CD15*CD16*CD12,"")</f>
        <v/>
      </c>
      <c r="CE19" s="913" t="str">
        <f>IF(CE5&lt;&gt;"",(MIN(Betriebsdaten!$H$14,HLOOKUP(CE5,Parameter!$C$157:$J$163,7,FALSE))^2+MIN(Betriebsdaten!$I$14,HLOOKUP(CE5,Parameter!$C$157:$J$163,7,FALSE))^2)/2*CE15*CE16*CE12,"")</f>
        <v/>
      </c>
    </row>
    <row r="20" spans="1:83" s="207" customFormat="1" ht="14.25" customHeight="1">
      <c r="A20" s="655" t="s">
        <v>567</v>
      </c>
      <c r="B20" s="656" t="s">
        <v>617</v>
      </c>
      <c r="C20" s="656" t="s">
        <v>565</v>
      </c>
      <c r="D20" s="657" t="str">
        <f t="shared" ref="D20:AI20" si="77">IF(D5="","",SUM(D18:D19))</f>
        <v/>
      </c>
      <c r="E20" s="658" t="str">
        <f t="shared" si="77"/>
        <v/>
      </c>
      <c r="F20" s="658" t="str">
        <f t="shared" si="77"/>
        <v/>
      </c>
      <c r="G20" s="658" t="str">
        <f t="shared" si="77"/>
        <v/>
      </c>
      <c r="H20" s="658" t="str">
        <f t="shared" si="77"/>
        <v/>
      </c>
      <c r="I20" s="658" t="str">
        <f t="shared" si="77"/>
        <v/>
      </c>
      <c r="J20" s="658" t="str">
        <f t="shared" si="77"/>
        <v/>
      </c>
      <c r="K20" s="658" t="str">
        <f t="shared" si="77"/>
        <v/>
      </c>
      <c r="L20" s="658" t="str">
        <f t="shared" si="77"/>
        <v/>
      </c>
      <c r="M20" s="659" t="str">
        <f t="shared" si="77"/>
        <v/>
      </c>
      <c r="N20" s="657" t="str">
        <f t="shared" si="77"/>
        <v/>
      </c>
      <c r="O20" s="658" t="str">
        <f t="shared" si="77"/>
        <v/>
      </c>
      <c r="P20" s="658" t="str">
        <f t="shared" si="77"/>
        <v/>
      </c>
      <c r="Q20" s="658" t="str">
        <f t="shared" si="77"/>
        <v/>
      </c>
      <c r="R20" s="658" t="str">
        <f t="shared" si="77"/>
        <v/>
      </c>
      <c r="S20" s="658" t="str">
        <f t="shared" si="77"/>
        <v/>
      </c>
      <c r="T20" s="658" t="str">
        <f t="shared" si="77"/>
        <v/>
      </c>
      <c r="U20" s="658" t="str">
        <f t="shared" si="77"/>
        <v/>
      </c>
      <c r="V20" s="658" t="str">
        <f t="shared" si="77"/>
        <v/>
      </c>
      <c r="W20" s="659" t="str">
        <f t="shared" si="77"/>
        <v/>
      </c>
      <c r="X20" s="657" t="str">
        <f t="shared" si="77"/>
        <v/>
      </c>
      <c r="Y20" s="658" t="str">
        <f t="shared" si="77"/>
        <v/>
      </c>
      <c r="Z20" s="658" t="str">
        <f t="shared" si="77"/>
        <v/>
      </c>
      <c r="AA20" s="658" t="str">
        <f t="shared" si="77"/>
        <v/>
      </c>
      <c r="AB20" s="658" t="str">
        <f t="shared" si="77"/>
        <v/>
      </c>
      <c r="AC20" s="658" t="str">
        <f t="shared" si="77"/>
        <v/>
      </c>
      <c r="AD20" s="658" t="str">
        <f t="shared" si="77"/>
        <v/>
      </c>
      <c r="AE20" s="658" t="str">
        <f t="shared" si="77"/>
        <v/>
      </c>
      <c r="AF20" s="658" t="str">
        <f t="shared" si="77"/>
        <v/>
      </c>
      <c r="AG20" s="659" t="str">
        <f t="shared" si="77"/>
        <v/>
      </c>
      <c r="AH20" s="657" t="str">
        <f t="shared" si="77"/>
        <v/>
      </c>
      <c r="AI20" s="658" t="str">
        <f t="shared" si="77"/>
        <v/>
      </c>
      <c r="AJ20" s="658" t="str">
        <f t="shared" ref="AJ20:BO20" si="78">IF(AJ5="","",SUM(AJ18:AJ19))</f>
        <v/>
      </c>
      <c r="AK20" s="658" t="str">
        <f t="shared" si="78"/>
        <v/>
      </c>
      <c r="AL20" s="658" t="str">
        <f t="shared" si="78"/>
        <v/>
      </c>
      <c r="AM20" s="658" t="str">
        <f t="shared" si="78"/>
        <v/>
      </c>
      <c r="AN20" s="658" t="str">
        <f t="shared" si="78"/>
        <v/>
      </c>
      <c r="AO20" s="658" t="str">
        <f t="shared" si="78"/>
        <v/>
      </c>
      <c r="AP20" s="658" t="str">
        <f t="shared" si="78"/>
        <v/>
      </c>
      <c r="AQ20" s="659" t="str">
        <f t="shared" si="78"/>
        <v/>
      </c>
      <c r="AR20" s="657" t="str">
        <f t="shared" si="78"/>
        <v/>
      </c>
      <c r="AS20" s="658" t="str">
        <f t="shared" si="78"/>
        <v/>
      </c>
      <c r="AT20" s="658" t="str">
        <f t="shared" si="78"/>
        <v/>
      </c>
      <c r="AU20" s="658" t="str">
        <f t="shared" si="78"/>
        <v/>
      </c>
      <c r="AV20" s="658" t="str">
        <f t="shared" si="78"/>
        <v/>
      </c>
      <c r="AW20" s="658" t="str">
        <f t="shared" si="78"/>
        <v/>
      </c>
      <c r="AX20" s="658" t="str">
        <f t="shared" si="78"/>
        <v/>
      </c>
      <c r="AY20" s="658" t="str">
        <f t="shared" si="78"/>
        <v/>
      </c>
      <c r="AZ20" s="658" t="str">
        <f t="shared" si="78"/>
        <v/>
      </c>
      <c r="BA20" s="659" t="str">
        <f t="shared" si="78"/>
        <v/>
      </c>
      <c r="BB20" s="657" t="str">
        <f t="shared" si="78"/>
        <v/>
      </c>
      <c r="BC20" s="658" t="str">
        <f t="shared" si="78"/>
        <v/>
      </c>
      <c r="BD20" s="658" t="str">
        <f t="shared" si="78"/>
        <v/>
      </c>
      <c r="BE20" s="658" t="str">
        <f t="shared" si="78"/>
        <v/>
      </c>
      <c r="BF20" s="658" t="str">
        <f t="shared" si="78"/>
        <v/>
      </c>
      <c r="BG20" s="658" t="str">
        <f t="shared" si="78"/>
        <v/>
      </c>
      <c r="BH20" s="658" t="str">
        <f t="shared" si="78"/>
        <v/>
      </c>
      <c r="BI20" s="658" t="str">
        <f t="shared" si="78"/>
        <v/>
      </c>
      <c r="BJ20" s="658" t="str">
        <f t="shared" si="78"/>
        <v/>
      </c>
      <c r="BK20" s="659" t="str">
        <f t="shared" si="78"/>
        <v/>
      </c>
      <c r="BL20" s="657" t="str">
        <f t="shared" si="78"/>
        <v/>
      </c>
      <c r="BM20" s="658" t="str">
        <f t="shared" si="78"/>
        <v/>
      </c>
      <c r="BN20" s="658" t="str">
        <f t="shared" si="78"/>
        <v/>
      </c>
      <c r="BO20" s="658" t="str">
        <f t="shared" si="78"/>
        <v/>
      </c>
      <c r="BP20" s="658" t="str">
        <f t="shared" ref="BP20:CE20" si="79">IF(BP5="","",SUM(BP18:BP19))</f>
        <v/>
      </c>
      <c r="BQ20" s="658" t="str">
        <f t="shared" si="79"/>
        <v/>
      </c>
      <c r="BR20" s="658" t="str">
        <f t="shared" si="79"/>
        <v/>
      </c>
      <c r="BS20" s="658" t="str">
        <f t="shared" si="79"/>
        <v/>
      </c>
      <c r="BT20" s="658" t="str">
        <f t="shared" si="79"/>
        <v/>
      </c>
      <c r="BU20" s="659" t="str">
        <f t="shared" si="79"/>
        <v/>
      </c>
      <c r="BV20" s="657" t="str">
        <f t="shared" si="79"/>
        <v/>
      </c>
      <c r="BW20" s="658" t="str">
        <f t="shared" si="79"/>
        <v/>
      </c>
      <c r="BX20" s="658" t="str">
        <f t="shared" si="79"/>
        <v/>
      </c>
      <c r="BY20" s="658" t="str">
        <f t="shared" si="79"/>
        <v/>
      </c>
      <c r="BZ20" s="658" t="str">
        <f t="shared" si="79"/>
        <v/>
      </c>
      <c r="CA20" s="658" t="str">
        <f t="shared" si="79"/>
        <v/>
      </c>
      <c r="CB20" s="658" t="str">
        <f t="shared" si="79"/>
        <v/>
      </c>
      <c r="CC20" s="658" t="str">
        <f t="shared" si="79"/>
        <v/>
      </c>
      <c r="CD20" s="658" t="str">
        <f t="shared" si="79"/>
        <v/>
      </c>
      <c r="CE20" s="659" t="str">
        <f t="shared" si="79"/>
        <v/>
      </c>
    </row>
    <row r="21" spans="1:83" s="207" customFormat="1" ht="14.25" customHeight="1">
      <c r="A21" s="660" t="s">
        <v>568</v>
      </c>
      <c r="B21" s="661" t="s">
        <v>618</v>
      </c>
      <c r="C21" s="662" t="s">
        <v>175</v>
      </c>
      <c r="D21" s="663" t="str">
        <f>IF(D5="","",D20*(Betriebsdaten!$F$10-Betriebsdaten!$E$10)*1000*0.000000277778/Parameter!$C$194)</f>
        <v/>
      </c>
      <c r="E21" s="664" t="str">
        <f>IF(E5="","",E20*(Betriebsdaten!$F$10-Betriebsdaten!$E$10)*1000*0.000000277778/Parameter!$C$194)</f>
        <v/>
      </c>
      <c r="F21" s="664" t="str">
        <f>IF(F5="","",F20*(Betriebsdaten!$F$10-Betriebsdaten!$E$10)*1000*0.000000277778/Parameter!$C$194)</f>
        <v/>
      </c>
      <c r="G21" s="664" t="str">
        <f>IF(G5="","",G20*(Betriebsdaten!$F$10-Betriebsdaten!$E$10)*1000*0.000000277778/Parameter!$C$194)</f>
        <v/>
      </c>
      <c r="H21" s="664" t="str">
        <f>IF(H5="","",H20*(Betriebsdaten!$F$10-Betriebsdaten!$E$10)*1000*0.000000277778/Parameter!$C$194)</f>
        <v/>
      </c>
      <c r="I21" s="664" t="str">
        <f>IF(I5="","",I20*(Betriebsdaten!$F$10-Betriebsdaten!$E$10)*1000*0.000000277778/Parameter!$C$194)</f>
        <v/>
      </c>
      <c r="J21" s="664" t="str">
        <f>IF(J5="","",J20*(Betriebsdaten!$F$10-Betriebsdaten!$E$10)*1000*0.000000277778/Parameter!$C$194)</f>
        <v/>
      </c>
      <c r="K21" s="664" t="str">
        <f>IF(K5="","",K20*(Betriebsdaten!$F$10-Betriebsdaten!$E$10)*1000*0.000000277778/Parameter!$C$194)</f>
        <v/>
      </c>
      <c r="L21" s="664" t="str">
        <f>IF(L5="","",L20*(Betriebsdaten!$F$10-Betriebsdaten!$E$10)*1000*0.000000277778/Parameter!$C$194)</f>
        <v/>
      </c>
      <c r="M21" s="665" t="str">
        <f>IF(M5="","",M20*(Betriebsdaten!$F$10-Betriebsdaten!$E$10)*1000*0.000000277778/Parameter!$C$194)</f>
        <v/>
      </c>
      <c r="N21" s="663" t="str">
        <f>IF(N5="","",N20*(Betriebsdaten!$G$10-Betriebsdaten!$F$10)*1000*0.000000277778/Parameter!$C$194)</f>
        <v/>
      </c>
      <c r="O21" s="664" t="str">
        <f>IF(O5="","",O20*(Betriebsdaten!$G$10-Betriebsdaten!$F$10)*1000*0.000000277778/Parameter!$C$194)</f>
        <v/>
      </c>
      <c r="P21" s="664" t="str">
        <f>IF(P5="","",P20*(Betriebsdaten!$G$10-Betriebsdaten!$F$10)*1000*0.000000277778/Parameter!$C$194)</f>
        <v/>
      </c>
      <c r="Q21" s="664" t="str">
        <f>IF(Q5="","",Q20*(Betriebsdaten!$G$10-Betriebsdaten!$F$10)*1000*0.000000277778/Parameter!$C$194)</f>
        <v/>
      </c>
      <c r="R21" s="664" t="str">
        <f>IF(R5="","",R20*(Betriebsdaten!$G$10-Betriebsdaten!$F$10)*1000*0.000000277778/Parameter!$C$194)</f>
        <v/>
      </c>
      <c r="S21" s="664" t="str">
        <f>IF(S5="","",S20*(Betriebsdaten!$G$10-Betriebsdaten!$F$10)*1000*0.000000277778/Parameter!$C$194)</f>
        <v/>
      </c>
      <c r="T21" s="664" t="str">
        <f>IF(T5="","",T20*(Betriebsdaten!$G$10-Betriebsdaten!$F$10)*1000*0.000000277778/Parameter!$C$194)</f>
        <v/>
      </c>
      <c r="U21" s="664" t="str">
        <f>IF(U5="","",U20*(Betriebsdaten!$G$10-Betriebsdaten!$F$10)*1000*0.000000277778/Parameter!$C$194)</f>
        <v/>
      </c>
      <c r="V21" s="664" t="str">
        <f>IF(V5="","",V20*(Betriebsdaten!$G$10-Betriebsdaten!$F$10)*1000*0.000000277778/Parameter!$C$194)</f>
        <v/>
      </c>
      <c r="W21" s="665" t="str">
        <f>IF(W5="","",W20*(Betriebsdaten!$G$10-Betriebsdaten!$F$10)*1000*0.000000277778/Parameter!$C$194)</f>
        <v/>
      </c>
      <c r="X21" s="663" t="str">
        <f>IF(X5="","",X20*(Betriebsdaten!$H$10-Betriebsdaten!$G$10)*1000*0.000000277778/Parameter!$C$194)</f>
        <v/>
      </c>
      <c r="Y21" s="664" t="str">
        <f>IF(Y5="","",Y20*(Betriebsdaten!$H$10-Betriebsdaten!$G$10)*1000*0.000000277778/Parameter!$C$194)</f>
        <v/>
      </c>
      <c r="Z21" s="664" t="str">
        <f>IF(Z5="","",Z20*(Betriebsdaten!$H$10-Betriebsdaten!$G$10)*1000*0.000000277778/Parameter!$C$194)</f>
        <v/>
      </c>
      <c r="AA21" s="664" t="str">
        <f>IF(AA5="","",AA20*(Betriebsdaten!$H$10-Betriebsdaten!$G$10)*1000*0.000000277778/Parameter!$C$194)</f>
        <v/>
      </c>
      <c r="AB21" s="664" t="str">
        <f>IF(AB5="","",AB20*(Betriebsdaten!$H$10-Betriebsdaten!$G$10)*1000*0.000000277778/Parameter!$C$194)</f>
        <v/>
      </c>
      <c r="AC21" s="664" t="str">
        <f>IF(AC5="","",AC20*(Betriebsdaten!$H$10-Betriebsdaten!$G$10)*1000*0.000000277778/Parameter!$C$194)</f>
        <v/>
      </c>
      <c r="AD21" s="664" t="str">
        <f>IF(AD5="","",AD20*(Betriebsdaten!$H$10-Betriebsdaten!$G$10)*1000*0.000000277778/Parameter!$C$194)</f>
        <v/>
      </c>
      <c r="AE21" s="664" t="str">
        <f>IF(AE5="","",AE20*(Betriebsdaten!$H$10-Betriebsdaten!$G$10)*1000*0.000000277778/Parameter!$C$194)</f>
        <v/>
      </c>
      <c r="AF21" s="664" t="str">
        <f>IF(AF5="","",AF20*(Betriebsdaten!$H$10-Betriebsdaten!$G$10)*1000*0.000000277778/Parameter!$C$194)</f>
        <v/>
      </c>
      <c r="AG21" s="665" t="str">
        <f>IF(AG5="","",AG20*(Betriebsdaten!$H$10-Betriebsdaten!$G$10)*1000*0.000000277778/Parameter!$C$194)</f>
        <v/>
      </c>
      <c r="AH21" s="663" t="str">
        <f>IF(AH5="","",AH20*(Betriebsdaten!$I$10-Betriebsdaten!$H$10)*1000*0.000000277778/Parameter!$C$194)</f>
        <v/>
      </c>
      <c r="AI21" s="664" t="str">
        <f>IF(AI5="","",AI20*(Betriebsdaten!$I$10-Betriebsdaten!$H$10)*1000*0.000000277778/Parameter!$C$194)</f>
        <v/>
      </c>
      <c r="AJ21" s="664" t="str">
        <f>IF(AJ5="","",AJ20*(Betriebsdaten!$I$10-Betriebsdaten!$H$10)*1000*0.000000277778/Parameter!$C$194)</f>
        <v/>
      </c>
      <c r="AK21" s="664" t="str">
        <f>IF(AK5="","",AK20*(Betriebsdaten!$I$10-Betriebsdaten!$H$10)*1000*0.000000277778/Parameter!$C$194)</f>
        <v/>
      </c>
      <c r="AL21" s="664" t="str">
        <f>IF(AL5="","",AL20*(Betriebsdaten!$I$10-Betriebsdaten!$H$10)*1000*0.000000277778/Parameter!$C$194)</f>
        <v/>
      </c>
      <c r="AM21" s="664" t="str">
        <f>IF(AM5="","",AM20*(Betriebsdaten!$I$10-Betriebsdaten!$H$10)*1000*0.000000277778/Parameter!$C$194)</f>
        <v/>
      </c>
      <c r="AN21" s="664" t="str">
        <f>IF(AN5="","",AN20*(Betriebsdaten!$I$10-Betriebsdaten!$H$10)*1000*0.000000277778/Parameter!$C$194)</f>
        <v/>
      </c>
      <c r="AO21" s="664" t="str">
        <f>IF(AO5="","",AO20*(Betriebsdaten!$I$10-Betriebsdaten!$H$10)*1000*0.000000277778/Parameter!$C$194)</f>
        <v/>
      </c>
      <c r="AP21" s="664" t="str">
        <f>IF(AP5="","",AP20*(Betriebsdaten!$I$10-Betriebsdaten!$H$10)*1000*0.000000277778/Parameter!$C$194)</f>
        <v/>
      </c>
      <c r="AQ21" s="665" t="str">
        <f>IF(AQ5="","",AQ20*(Betriebsdaten!$I$10-Betriebsdaten!$H$10)*1000*0.000000277778/Parameter!$C$194)</f>
        <v/>
      </c>
      <c r="AR21" s="663" t="str">
        <f>IF(AR5="","",AR20*(Betriebsdaten!$F$13-Betriebsdaten!$E$13)*1000*0.000000277778/Parameter!$C$194)</f>
        <v/>
      </c>
      <c r="AS21" s="664" t="str">
        <f>IF(AS5="","",AS20*(Betriebsdaten!$F$13-Betriebsdaten!$E$13)*1000*0.000000277778/Parameter!$C$194)</f>
        <v/>
      </c>
      <c r="AT21" s="664" t="str">
        <f>IF(AT5="","",AT20*(Betriebsdaten!$F$13-Betriebsdaten!$E$13)*1000*0.000000277778/Parameter!$C$194)</f>
        <v/>
      </c>
      <c r="AU21" s="664" t="str">
        <f>IF(AU5="","",AU20*(Betriebsdaten!$F$13-Betriebsdaten!$E$13)*1000*0.000000277778/Parameter!$C$194)</f>
        <v/>
      </c>
      <c r="AV21" s="664" t="str">
        <f>IF(AV5="","",AV20*(Betriebsdaten!$F$13-Betriebsdaten!$E$13)*1000*0.000000277778/Parameter!$C$194)</f>
        <v/>
      </c>
      <c r="AW21" s="664" t="str">
        <f>IF(AW5="","",AW20*(Betriebsdaten!$F$13-Betriebsdaten!$E$13)*1000*0.000000277778/Parameter!$C$194)</f>
        <v/>
      </c>
      <c r="AX21" s="664" t="str">
        <f>IF(AX5="","",AX20*(Betriebsdaten!$F$13-Betriebsdaten!$E$13)*1000*0.000000277778/Parameter!$C$194)</f>
        <v/>
      </c>
      <c r="AY21" s="664" t="str">
        <f>IF(AY5="","",AY20*(Betriebsdaten!$F$13-Betriebsdaten!$E$13)*1000*0.000000277778/Parameter!$C$194)</f>
        <v/>
      </c>
      <c r="AZ21" s="664" t="str">
        <f>IF(AZ5="","",AZ20*(Betriebsdaten!$F$13-Betriebsdaten!$E$13)*1000*0.000000277778/Parameter!$C$194)</f>
        <v/>
      </c>
      <c r="BA21" s="665" t="str">
        <f>IF(BA5="","",BA20*(Betriebsdaten!$F$13-Betriebsdaten!$E$13)*1000*0.000000277778/Parameter!$C$194)</f>
        <v/>
      </c>
      <c r="BB21" s="663" t="str">
        <f>IF(BB5="","",BB20*(Betriebsdaten!$G$13-Betriebsdaten!$F$13)*1000*0.000000277778/Parameter!$C$194)</f>
        <v/>
      </c>
      <c r="BC21" s="664" t="str">
        <f>IF(BC5="","",BC20*(Betriebsdaten!$G$13-Betriebsdaten!$F$13)*1000*0.000000277778/Parameter!$C$194)</f>
        <v/>
      </c>
      <c r="BD21" s="664" t="str">
        <f>IF(BD5="","",BD20*(Betriebsdaten!$G$13-Betriebsdaten!$F$13)*1000*0.000000277778/Parameter!$C$194)</f>
        <v/>
      </c>
      <c r="BE21" s="664" t="str">
        <f>IF(BE5="","",BE20*(Betriebsdaten!$G$13-Betriebsdaten!$F$13)*1000*0.000000277778/Parameter!$C$194)</f>
        <v/>
      </c>
      <c r="BF21" s="664" t="str">
        <f>IF(BF5="","",BF20*(Betriebsdaten!$G$13-Betriebsdaten!$F$13)*1000*0.000000277778/Parameter!$C$194)</f>
        <v/>
      </c>
      <c r="BG21" s="664" t="str">
        <f>IF(BG5="","",BG20*(Betriebsdaten!$G$13-Betriebsdaten!$F$13)*1000*0.000000277778/Parameter!$C$194)</f>
        <v/>
      </c>
      <c r="BH21" s="664" t="str">
        <f>IF(BH5="","",BH20*(Betriebsdaten!$G$13-Betriebsdaten!$F$13)*1000*0.000000277778/Parameter!$C$194)</f>
        <v/>
      </c>
      <c r="BI21" s="664" t="str">
        <f>IF(BI5="","",BI20*(Betriebsdaten!$G$13-Betriebsdaten!$F$13)*1000*0.000000277778/Parameter!$C$194)</f>
        <v/>
      </c>
      <c r="BJ21" s="664" t="str">
        <f>IF(BJ5="","",BJ20*(Betriebsdaten!$G$13-Betriebsdaten!$F$13)*1000*0.000000277778/Parameter!$C$194)</f>
        <v/>
      </c>
      <c r="BK21" s="665" t="str">
        <f>IF(BK5="","",BK20*(Betriebsdaten!$G$13-Betriebsdaten!$F$13)*1000*0.000000277778/Parameter!$C$194)</f>
        <v/>
      </c>
      <c r="BL21" s="663" t="str">
        <f>IF(BL5="","",BL20*(Betriebsdaten!$H$13-Betriebsdaten!$G$13)*1000*0.000000277778/Parameter!$C$194)</f>
        <v/>
      </c>
      <c r="BM21" s="664" t="str">
        <f>IF(BM5="","",BM20*(Betriebsdaten!$H$13-Betriebsdaten!$G$13)*1000*0.000000277778/Parameter!$C$194)</f>
        <v/>
      </c>
      <c r="BN21" s="664" t="str">
        <f>IF(BN5="","",BN20*(Betriebsdaten!$H$13-Betriebsdaten!$G$13)*1000*0.000000277778/Parameter!$C$194)</f>
        <v/>
      </c>
      <c r="BO21" s="664" t="str">
        <f>IF(BO5="","",BO20*(Betriebsdaten!$H$13-Betriebsdaten!$G$13)*1000*0.000000277778/Parameter!$C$194)</f>
        <v/>
      </c>
      <c r="BP21" s="664" t="str">
        <f>IF(BP5="","",BP20*(Betriebsdaten!$H$13-Betriebsdaten!$G$13)*1000*0.000000277778/Parameter!$C$194)</f>
        <v/>
      </c>
      <c r="BQ21" s="664" t="str">
        <f>IF(BQ5="","",BQ20*(Betriebsdaten!$H$13-Betriebsdaten!$G$13)*1000*0.000000277778/Parameter!$C$194)</f>
        <v/>
      </c>
      <c r="BR21" s="664" t="str">
        <f>IF(BR5="","",BR20*(Betriebsdaten!$H$13-Betriebsdaten!$G$13)*1000*0.000000277778/Parameter!$C$194)</f>
        <v/>
      </c>
      <c r="BS21" s="664" t="str">
        <f>IF(BS5="","",BS20*(Betriebsdaten!$H$13-Betriebsdaten!$G$13)*1000*0.000000277778/Parameter!$C$194)</f>
        <v/>
      </c>
      <c r="BT21" s="664" t="str">
        <f>IF(BT5="","",BT20*(Betriebsdaten!$H$13-Betriebsdaten!$G$13)*1000*0.000000277778/Parameter!$C$194)</f>
        <v/>
      </c>
      <c r="BU21" s="665" t="str">
        <f>IF(BU5="","",BU20*(Betriebsdaten!$H$13-Betriebsdaten!$G$13)*1000*0.000000277778/Parameter!$C$194)</f>
        <v/>
      </c>
      <c r="BV21" s="663" t="str">
        <f>IF(BV5="","",BV20*(Betriebsdaten!$I$13-Betriebsdaten!$H$13)*1000*0.000000277778/Parameter!$C$194)</f>
        <v/>
      </c>
      <c r="BW21" s="664" t="str">
        <f>IF(BW5="","",BW20*(Betriebsdaten!$I$13-Betriebsdaten!$H$13)*1000*0.000000277778/Parameter!$C$194)</f>
        <v/>
      </c>
      <c r="BX21" s="664" t="str">
        <f>IF(BX5="","",BX20*(Betriebsdaten!$I$13-Betriebsdaten!$H$13)*1000*0.000000277778/Parameter!$C$194)</f>
        <v/>
      </c>
      <c r="BY21" s="664" t="str">
        <f>IF(BY5="","",BY20*(Betriebsdaten!$I$13-Betriebsdaten!$H$13)*1000*0.000000277778/Parameter!$C$194)</f>
        <v/>
      </c>
      <c r="BZ21" s="664" t="str">
        <f>IF(BZ5="","",BZ20*(Betriebsdaten!$I$13-Betriebsdaten!$H$13)*1000*0.000000277778/Parameter!$C$194)</f>
        <v/>
      </c>
      <c r="CA21" s="664" t="str">
        <f>IF(CA5="","",CA20*(Betriebsdaten!$I$13-Betriebsdaten!$H$13)*1000*0.000000277778/Parameter!$C$194)</f>
        <v/>
      </c>
      <c r="CB21" s="664" t="str">
        <f>IF(CB5="","",CB20*(Betriebsdaten!$I$13-Betriebsdaten!$H$13)*1000*0.000000277778/Parameter!$C$194)</f>
        <v/>
      </c>
      <c r="CC21" s="664" t="str">
        <f>IF(CC5="","",CC20*(Betriebsdaten!$I$13-Betriebsdaten!$H$13)*1000*0.000000277778/Parameter!$C$194)</f>
        <v/>
      </c>
      <c r="CD21" s="664" t="str">
        <f>IF(CD5="","",CD20*(Betriebsdaten!$I$13-Betriebsdaten!$H$13)*1000*0.000000277778/Parameter!$C$194)</f>
        <v/>
      </c>
      <c r="CE21" s="665" t="str">
        <f>IF(CE5="","",CE20*(Betriebsdaten!$I$13-Betriebsdaten!$H$13)*1000*0.000000277778/Parameter!$C$194)</f>
        <v/>
      </c>
    </row>
    <row r="22" spans="1:83" s="207" customFormat="1" ht="8.25" customHeight="1">
      <c r="A22" s="641"/>
      <c r="B22" s="5"/>
      <c r="C22" s="640"/>
      <c r="D22" s="10"/>
      <c r="E22" s="5"/>
      <c r="F22" s="57"/>
      <c r="G22" s="5"/>
      <c r="H22" s="5"/>
      <c r="I22" s="5"/>
      <c r="J22" s="5"/>
      <c r="K22" s="5"/>
      <c r="L22" s="5"/>
      <c r="M22" s="640"/>
      <c r="N22" s="10"/>
      <c r="O22" s="5"/>
      <c r="P22" s="57"/>
      <c r="Q22" s="5"/>
      <c r="R22" s="5"/>
      <c r="S22" s="5"/>
      <c r="T22" s="5"/>
      <c r="U22" s="5"/>
      <c r="V22" s="5"/>
      <c r="W22" s="640"/>
      <c r="X22" s="10"/>
      <c r="Y22" s="5"/>
      <c r="Z22" s="57"/>
      <c r="AA22" s="5"/>
      <c r="AB22" s="5"/>
      <c r="AC22" s="5"/>
      <c r="AD22" s="5"/>
      <c r="AE22" s="5"/>
      <c r="AF22" s="5"/>
      <c r="AG22" s="640"/>
      <c r="AH22" s="10"/>
      <c r="AI22" s="5"/>
      <c r="AJ22" s="57"/>
      <c r="AK22" s="5"/>
      <c r="AL22" s="5"/>
      <c r="AM22" s="5"/>
      <c r="AN22" s="5"/>
      <c r="AO22" s="5"/>
      <c r="AP22" s="5"/>
      <c r="AQ22" s="640"/>
      <c r="AR22" s="10"/>
      <c r="AS22" s="5"/>
      <c r="AT22" s="57"/>
      <c r="AU22" s="5"/>
      <c r="AV22" s="5"/>
      <c r="AW22" s="5"/>
      <c r="AX22" s="5"/>
      <c r="AY22" s="5"/>
      <c r="AZ22" s="5"/>
      <c r="BA22" s="640"/>
      <c r="BB22" s="10"/>
      <c r="BC22" s="5"/>
      <c r="BD22" s="57"/>
      <c r="BE22" s="5"/>
      <c r="BF22" s="5"/>
      <c r="BG22" s="5"/>
      <c r="BH22" s="5"/>
      <c r="BI22" s="5"/>
      <c r="BJ22" s="5"/>
      <c r="BK22" s="640"/>
      <c r="BL22" s="10"/>
      <c r="BM22" s="5"/>
      <c r="BN22" s="57"/>
      <c r="BO22" s="5"/>
      <c r="BP22" s="5"/>
      <c r="BQ22" s="5"/>
      <c r="BR22" s="5"/>
      <c r="BS22" s="5"/>
      <c r="BT22" s="5"/>
      <c r="BU22" s="640"/>
      <c r="BV22" s="10"/>
      <c r="BW22" s="5"/>
      <c r="BX22" s="57"/>
      <c r="BY22" s="5"/>
      <c r="BZ22" s="5"/>
      <c r="CA22" s="5"/>
      <c r="CB22" s="5"/>
      <c r="CC22" s="5"/>
      <c r="CD22" s="5"/>
      <c r="CE22" s="640"/>
    </row>
    <row r="23" spans="1:83" s="207" customFormat="1" ht="14.25" customHeight="1">
      <c r="A23" s="645" t="s">
        <v>569</v>
      </c>
      <c r="B23" s="646"/>
      <c r="C23" s="646" t="s">
        <v>570</v>
      </c>
      <c r="D23" s="647" t="str">
        <f>IF(D5&lt;&gt;"",Betriebsdaten!E6,"")</f>
        <v/>
      </c>
      <c r="E23" s="648" t="str">
        <f>IF(E5&lt;&gt;"",Betriebsdaten!F6,"")</f>
        <v/>
      </c>
      <c r="F23" s="648" t="str">
        <f>IF(F5&lt;&gt;"",Betriebsdaten!G6,"")</f>
        <v/>
      </c>
      <c r="G23" s="648" t="str">
        <f>IF(G5&lt;&gt;"",Betriebsdaten!H6,"")</f>
        <v/>
      </c>
      <c r="H23" s="648" t="str">
        <f>IF(H5&lt;&gt;"",Betriebsdaten!I6,"")</f>
        <v/>
      </c>
      <c r="I23" s="648" t="str">
        <f>IF(I5&lt;&gt;"",Betriebsdaten!J6,"")</f>
        <v/>
      </c>
      <c r="J23" s="648" t="str">
        <f>IF(J5&lt;&gt;"",Betriebsdaten!K6,"")</f>
        <v/>
      </c>
      <c r="K23" s="648" t="str">
        <f>IF(K5&lt;&gt;"",Betriebsdaten!L6,"")</f>
        <v/>
      </c>
      <c r="L23" s="648" t="str">
        <f>IF(L5&lt;&gt;"",Betriebsdaten!M6,"")</f>
        <v/>
      </c>
      <c r="M23" s="649" t="str">
        <f>IF(M5&lt;&gt;"",Betriebsdaten!N6,"")</f>
        <v/>
      </c>
      <c r="N23" s="647" t="str">
        <f t="shared" ref="N23" si="80">IF(N$5&lt;&gt;"",D23,"")</f>
        <v/>
      </c>
      <c r="O23" s="648" t="str">
        <f t="shared" ref="O23" si="81">IF(O$5&lt;&gt;"",E23,"")</f>
        <v/>
      </c>
      <c r="P23" s="648" t="str">
        <f t="shared" ref="P23" si="82">IF(P$5&lt;&gt;"",F23,"")</f>
        <v/>
      </c>
      <c r="Q23" s="648" t="str">
        <f t="shared" ref="Q23" si="83">IF(Q$5&lt;&gt;"",G23,"")</f>
        <v/>
      </c>
      <c r="R23" s="648" t="str">
        <f t="shared" ref="R23" si="84">IF(R$5&lt;&gt;"",H23,"")</f>
        <v/>
      </c>
      <c r="S23" s="648" t="str">
        <f t="shared" ref="S23" si="85">IF(S$5&lt;&gt;"",I23,"")</f>
        <v/>
      </c>
      <c r="T23" s="648" t="str">
        <f t="shared" ref="T23" si="86">IF(T$5&lt;&gt;"",J23,"")</f>
        <v/>
      </c>
      <c r="U23" s="648" t="str">
        <f t="shared" ref="U23" si="87">IF(U$5&lt;&gt;"",K23,"")</f>
        <v/>
      </c>
      <c r="V23" s="648" t="str">
        <f t="shared" ref="V23" si="88">IF(V$5&lt;&gt;"",L23,"")</f>
        <v/>
      </c>
      <c r="W23" s="649" t="str">
        <f t="shared" ref="W23" si="89">IF(W$5&lt;&gt;"",M23,"")</f>
        <v/>
      </c>
      <c r="X23" s="647" t="str">
        <f t="shared" ref="X23" si="90">IF(X$5&lt;&gt;"",N23,"")</f>
        <v/>
      </c>
      <c r="Y23" s="648" t="str">
        <f t="shared" ref="Y23" si="91">IF(Y$5&lt;&gt;"",O23,"")</f>
        <v/>
      </c>
      <c r="Z23" s="648" t="str">
        <f t="shared" ref="Z23" si="92">IF(Z$5&lt;&gt;"",P23,"")</f>
        <v/>
      </c>
      <c r="AA23" s="648" t="str">
        <f t="shared" ref="AA23" si="93">IF(AA$5&lt;&gt;"",Q23,"")</f>
        <v/>
      </c>
      <c r="AB23" s="648" t="str">
        <f t="shared" ref="AB23" si="94">IF(AB$5&lt;&gt;"",R23,"")</f>
        <v/>
      </c>
      <c r="AC23" s="648" t="str">
        <f t="shared" ref="AC23" si="95">IF(AC$5&lt;&gt;"",S23,"")</f>
        <v/>
      </c>
      <c r="AD23" s="648" t="str">
        <f t="shared" ref="AD23" si="96">IF(AD$5&lt;&gt;"",T23,"")</f>
        <v/>
      </c>
      <c r="AE23" s="648" t="str">
        <f t="shared" ref="AE23" si="97">IF(AE$5&lt;&gt;"",U23,"")</f>
        <v/>
      </c>
      <c r="AF23" s="648" t="str">
        <f t="shared" ref="AF23" si="98">IF(AF$5&lt;&gt;"",V23,"")</f>
        <v/>
      </c>
      <c r="AG23" s="649" t="str">
        <f t="shared" ref="AG23" si="99">IF(AG$5&lt;&gt;"",W23,"")</f>
        <v/>
      </c>
      <c r="AH23" s="647" t="str">
        <f t="shared" ref="AH23" si="100">IF(AH$5&lt;&gt;"",X23,"")</f>
        <v/>
      </c>
      <c r="AI23" s="648" t="str">
        <f t="shared" ref="AI23" si="101">IF(AI$5&lt;&gt;"",Y23,"")</f>
        <v/>
      </c>
      <c r="AJ23" s="648" t="str">
        <f t="shared" ref="AJ23" si="102">IF(AJ$5&lt;&gt;"",Z23,"")</f>
        <v/>
      </c>
      <c r="AK23" s="648" t="str">
        <f t="shared" ref="AK23" si="103">IF(AK$5&lt;&gt;"",AA23,"")</f>
        <v/>
      </c>
      <c r="AL23" s="648" t="str">
        <f t="shared" ref="AL23" si="104">IF(AL$5&lt;&gt;"",AB23,"")</f>
        <v/>
      </c>
      <c r="AM23" s="648" t="str">
        <f t="shared" ref="AM23" si="105">IF(AM$5&lt;&gt;"",AC23,"")</f>
        <v/>
      </c>
      <c r="AN23" s="648" t="str">
        <f t="shared" ref="AN23" si="106">IF(AN$5&lt;&gt;"",AD23,"")</f>
        <v/>
      </c>
      <c r="AO23" s="648" t="str">
        <f t="shared" ref="AO23" si="107">IF(AO$5&lt;&gt;"",AE23,"")</f>
        <v/>
      </c>
      <c r="AP23" s="648" t="str">
        <f t="shared" ref="AP23" si="108">IF(AP$5&lt;&gt;"",AF23,"")</f>
        <v/>
      </c>
      <c r="AQ23" s="649" t="str">
        <f t="shared" ref="AQ23" si="109">IF(AQ$5&lt;&gt;"",AG23,"")</f>
        <v/>
      </c>
      <c r="AR23" s="647" t="str">
        <f>IF(AR5&lt;&gt;"",Betriebsdaten!E7,"")</f>
        <v/>
      </c>
      <c r="AS23" s="648" t="str">
        <f>IF(AS5&lt;&gt;"",Betriebsdaten!F7,"")</f>
        <v/>
      </c>
      <c r="AT23" s="648" t="str">
        <f>IF(AT5&lt;&gt;"",Betriebsdaten!G7,"")</f>
        <v/>
      </c>
      <c r="AU23" s="648" t="str">
        <f>IF(AU5&lt;&gt;"",Betriebsdaten!H7,"")</f>
        <v/>
      </c>
      <c r="AV23" s="648" t="str">
        <f>IF(AV5&lt;&gt;"",Betriebsdaten!I7,"")</f>
        <v/>
      </c>
      <c r="AW23" s="648" t="str">
        <f>IF(AW5&lt;&gt;"",Betriebsdaten!J7,"")</f>
        <v/>
      </c>
      <c r="AX23" s="648" t="str">
        <f>IF(AX5&lt;&gt;"",Betriebsdaten!K7,"")</f>
        <v/>
      </c>
      <c r="AY23" s="648" t="str">
        <f>IF(AY5&lt;&gt;"",Betriebsdaten!L7,"")</f>
        <v/>
      </c>
      <c r="AZ23" s="648" t="str">
        <f>IF(AZ5&lt;&gt;"",Betriebsdaten!M7,"")</f>
        <v/>
      </c>
      <c r="BA23" s="649" t="str">
        <f>IF(BA5&lt;&gt;"",Betriebsdaten!N7,"")</f>
        <v/>
      </c>
      <c r="BB23" s="647" t="str">
        <f>IF(BB5&lt;&gt;"",Betriebsdaten!E7,"")</f>
        <v/>
      </c>
      <c r="BC23" s="648" t="str">
        <f>IF(BC5&lt;&gt;"",Betriebsdaten!F7,"")</f>
        <v/>
      </c>
      <c r="BD23" s="648" t="str">
        <f>IF(BD5&lt;&gt;"",Betriebsdaten!G7,"")</f>
        <v/>
      </c>
      <c r="BE23" s="648" t="str">
        <f>IF(BE5&lt;&gt;"",Betriebsdaten!H7,"")</f>
        <v/>
      </c>
      <c r="BF23" s="648" t="str">
        <f>IF(BF5&lt;&gt;"",Betriebsdaten!I7,"")</f>
        <v/>
      </c>
      <c r="BG23" s="648" t="str">
        <f>IF(BG5&lt;&gt;"",Betriebsdaten!J7,"")</f>
        <v/>
      </c>
      <c r="BH23" s="648" t="str">
        <f>IF(BH5&lt;&gt;"",Betriebsdaten!K7,"")</f>
        <v/>
      </c>
      <c r="BI23" s="648" t="str">
        <f>IF(BI5&lt;&gt;"",Betriebsdaten!L7,"")</f>
        <v/>
      </c>
      <c r="BJ23" s="648" t="str">
        <f>IF(BJ5&lt;&gt;"",Betriebsdaten!M7,"")</f>
        <v/>
      </c>
      <c r="BK23" s="649" t="str">
        <f>IF(BK5&lt;&gt;"",Betriebsdaten!N7,"")</f>
        <v/>
      </c>
      <c r="BL23" s="647" t="str">
        <f>IF(BL5&lt;&gt;"",Betriebsdaten!E7,"")</f>
        <v/>
      </c>
      <c r="BM23" s="648" t="str">
        <f>IF(BM5&lt;&gt;"",Betriebsdaten!F7,"")</f>
        <v/>
      </c>
      <c r="BN23" s="648" t="str">
        <f>IF(BN5&lt;&gt;"",Betriebsdaten!G7,"")</f>
        <v/>
      </c>
      <c r="BO23" s="648" t="str">
        <f>IF(BO5&lt;&gt;"",Betriebsdaten!H7,"")</f>
        <v/>
      </c>
      <c r="BP23" s="648" t="str">
        <f>IF(BP5&lt;&gt;"",Betriebsdaten!I7,"")</f>
        <v/>
      </c>
      <c r="BQ23" s="648" t="str">
        <f>IF(BQ5&lt;&gt;"",Betriebsdaten!J7,"")</f>
        <v/>
      </c>
      <c r="BR23" s="648" t="str">
        <f>IF(BR5&lt;&gt;"",Betriebsdaten!K7,"")</f>
        <v/>
      </c>
      <c r="BS23" s="648" t="str">
        <f>IF(BS5&lt;&gt;"",Betriebsdaten!L7,"")</f>
        <v/>
      </c>
      <c r="BT23" s="648" t="str">
        <f>IF(BT5&lt;&gt;"",Betriebsdaten!M7,"")</f>
        <v/>
      </c>
      <c r="BU23" s="649" t="str">
        <f>IF(BU5&lt;&gt;"",Betriebsdaten!N7,"")</f>
        <v/>
      </c>
      <c r="BV23" s="647" t="str">
        <f>IF(BV5&lt;&gt;"",Betriebsdaten!E7,"")</f>
        <v/>
      </c>
      <c r="BW23" s="648" t="str">
        <f>IF(BW5&lt;&gt;"",Betriebsdaten!F7,"")</f>
        <v/>
      </c>
      <c r="BX23" s="648" t="str">
        <f>IF(BX5&lt;&gt;"",Betriebsdaten!G7,"")</f>
        <v/>
      </c>
      <c r="BY23" s="648" t="str">
        <f>IF(BY5&lt;&gt;"",Betriebsdaten!H7,"")</f>
        <v/>
      </c>
      <c r="BZ23" s="648" t="str">
        <f>IF(BZ5&lt;&gt;"",Betriebsdaten!I7,"")</f>
        <v/>
      </c>
      <c r="CA23" s="648" t="str">
        <f>IF(CA5&lt;&gt;"",Betriebsdaten!J7,"")</f>
        <v/>
      </c>
      <c r="CB23" s="648" t="str">
        <f>IF(CB5&lt;&gt;"",Betriebsdaten!K7,"")</f>
        <v/>
      </c>
      <c r="CC23" s="648" t="str">
        <f>IF(CC5&lt;&gt;"",Betriebsdaten!L7,"")</f>
        <v/>
      </c>
      <c r="CD23" s="648" t="str">
        <f>IF(CD5&lt;&gt;"",Betriebsdaten!M7,"")</f>
        <v/>
      </c>
      <c r="CE23" s="649" t="str">
        <f>IF(CE5&lt;&gt;"",Betriebsdaten!N7,"")</f>
        <v/>
      </c>
    </row>
    <row r="24" spans="1:83" s="207" customFormat="1" ht="8.25" customHeight="1">
      <c r="A24" s="641"/>
      <c r="B24" s="5"/>
      <c r="C24" s="640"/>
      <c r="D24" s="10"/>
      <c r="E24" s="5"/>
      <c r="F24" s="57"/>
      <c r="G24" s="5"/>
      <c r="H24" s="5"/>
      <c r="I24" s="5"/>
      <c r="J24" s="5"/>
      <c r="K24" s="5"/>
      <c r="L24" s="5"/>
      <c r="M24" s="640"/>
      <c r="N24" s="10"/>
      <c r="O24" s="5"/>
      <c r="P24" s="57"/>
      <c r="Q24" s="5"/>
      <c r="R24" s="5"/>
      <c r="S24" s="5"/>
      <c r="T24" s="5"/>
      <c r="U24" s="5"/>
      <c r="V24" s="5"/>
      <c r="W24" s="640"/>
      <c r="X24" s="10"/>
      <c r="Y24" s="5"/>
      <c r="Z24" s="57"/>
      <c r="AA24" s="5"/>
      <c r="AB24" s="5"/>
      <c r="AC24" s="5"/>
      <c r="AD24" s="5"/>
      <c r="AE24" s="5"/>
      <c r="AF24" s="5"/>
      <c r="AG24" s="640"/>
      <c r="AH24" s="10"/>
      <c r="AI24" s="5"/>
      <c r="AJ24" s="57"/>
      <c r="AK24" s="5"/>
      <c r="AL24" s="5"/>
      <c r="AM24" s="5"/>
      <c r="AN24" s="5"/>
      <c r="AO24" s="5"/>
      <c r="AP24" s="5"/>
      <c r="AQ24" s="640"/>
      <c r="AR24" s="10"/>
      <c r="AS24" s="5"/>
      <c r="AT24" s="57"/>
      <c r="AU24" s="5"/>
      <c r="AV24" s="5"/>
      <c r="AW24" s="5"/>
      <c r="AX24" s="5"/>
      <c r="AY24" s="5"/>
      <c r="AZ24" s="5"/>
      <c r="BA24" s="640"/>
      <c r="BB24" s="10"/>
      <c r="BC24" s="5"/>
      <c r="BD24" s="57"/>
      <c r="BE24" s="5"/>
      <c r="BF24" s="5"/>
      <c r="BG24" s="5"/>
      <c r="BH24" s="5"/>
      <c r="BI24" s="5"/>
      <c r="BJ24" s="5"/>
      <c r="BK24" s="640"/>
      <c r="BL24" s="10"/>
      <c r="BM24" s="5"/>
      <c r="BN24" s="57"/>
      <c r="BO24" s="5"/>
      <c r="BP24" s="5"/>
      <c r="BQ24" s="5"/>
      <c r="BR24" s="5"/>
      <c r="BS24" s="5"/>
      <c r="BT24" s="5"/>
      <c r="BU24" s="640"/>
      <c r="BV24" s="10"/>
      <c r="BW24" s="5"/>
      <c r="BX24" s="57"/>
      <c r="BY24" s="5"/>
      <c r="BZ24" s="5"/>
      <c r="CA24" s="5"/>
      <c r="CB24" s="5"/>
      <c r="CC24" s="5"/>
      <c r="CD24" s="5"/>
      <c r="CE24" s="640"/>
    </row>
    <row r="25" spans="1:83" ht="14.25" customHeight="1">
      <c r="A25" s="706" t="s">
        <v>571</v>
      </c>
      <c r="B25" s="707"/>
      <c r="C25" s="708" t="s">
        <v>204</v>
      </c>
      <c r="D25" s="709" t="str">
        <f t="shared" ref="D25:AI25" si="110">IF(D5="","",D21*D23*365.25)</f>
        <v/>
      </c>
      <c r="E25" s="648" t="str">
        <f t="shared" si="110"/>
        <v/>
      </c>
      <c r="F25" s="648" t="str">
        <f t="shared" si="110"/>
        <v/>
      </c>
      <c r="G25" s="648" t="str">
        <f t="shared" si="110"/>
        <v/>
      </c>
      <c r="H25" s="648" t="str">
        <f t="shared" si="110"/>
        <v/>
      </c>
      <c r="I25" s="648" t="str">
        <f t="shared" si="110"/>
        <v/>
      </c>
      <c r="J25" s="648" t="str">
        <f t="shared" si="110"/>
        <v/>
      </c>
      <c r="K25" s="648" t="str">
        <f t="shared" si="110"/>
        <v/>
      </c>
      <c r="L25" s="648" t="str">
        <f t="shared" si="110"/>
        <v/>
      </c>
      <c r="M25" s="649" t="str">
        <f t="shared" si="110"/>
        <v/>
      </c>
      <c r="N25" s="647" t="str">
        <f t="shared" si="110"/>
        <v/>
      </c>
      <c r="O25" s="648" t="str">
        <f t="shared" si="110"/>
        <v/>
      </c>
      <c r="P25" s="648" t="str">
        <f t="shared" si="110"/>
        <v/>
      </c>
      <c r="Q25" s="648" t="str">
        <f t="shared" si="110"/>
        <v/>
      </c>
      <c r="R25" s="648" t="str">
        <f t="shared" si="110"/>
        <v/>
      </c>
      <c r="S25" s="648" t="str">
        <f t="shared" si="110"/>
        <v/>
      </c>
      <c r="T25" s="648" t="str">
        <f t="shared" si="110"/>
        <v/>
      </c>
      <c r="U25" s="648" t="str">
        <f t="shared" si="110"/>
        <v/>
      </c>
      <c r="V25" s="648" t="str">
        <f t="shared" si="110"/>
        <v/>
      </c>
      <c r="W25" s="649" t="str">
        <f t="shared" si="110"/>
        <v/>
      </c>
      <c r="X25" s="647" t="str">
        <f t="shared" si="110"/>
        <v/>
      </c>
      <c r="Y25" s="648" t="str">
        <f t="shared" si="110"/>
        <v/>
      </c>
      <c r="Z25" s="648" t="str">
        <f t="shared" si="110"/>
        <v/>
      </c>
      <c r="AA25" s="648" t="str">
        <f t="shared" si="110"/>
        <v/>
      </c>
      <c r="AB25" s="648" t="str">
        <f t="shared" si="110"/>
        <v/>
      </c>
      <c r="AC25" s="648" t="str">
        <f t="shared" si="110"/>
        <v/>
      </c>
      <c r="AD25" s="648" t="str">
        <f t="shared" si="110"/>
        <v/>
      </c>
      <c r="AE25" s="648" t="str">
        <f t="shared" si="110"/>
        <v/>
      </c>
      <c r="AF25" s="648" t="str">
        <f t="shared" si="110"/>
        <v/>
      </c>
      <c r="AG25" s="649" t="str">
        <f t="shared" si="110"/>
        <v/>
      </c>
      <c r="AH25" s="647" t="str">
        <f t="shared" si="110"/>
        <v/>
      </c>
      <c r="AI25" s="648" t="str">
        <f t="shared" si="110"/>
        <v/>
      </c>
      <c r="AJ25" s="648" t="str">
        <f t="shared" ref="AJ25:BO25" si="111">IF(AJ5="","",AJ21*AJ23*365.25)</f>
        <v/>
      </c>
      <c r="AK25" s="648" t="str">
        <f t="shared" si="111"/>
        <v/>
      </c>
      <c r="AL25" s="648" t="str">
        <f t="shared" si="111"/>
        <v/>
      </c>
      <c r="AM25" s="648" t="str">
        <f t="shared" si="111"/>
        <v/>
      </c>
      <c r="AN25" s="648" t="str">
        <f t="shared" si="111"/>
        <v/>
      </c>
      <c r="AO25" s="648" t="str">
        <f t="shared" si="111"/>
        <v/>
      </c>
      <c r="AP25" s="648" t="str">
        <f t="shared" si="111"/>
        <v/>
      </c>
      <c r="AQ25" s="649" t="str">
        <f t="shared" si="111"/>
        <v/>
      </c>
      <c r="AR25" s="647" t="str">
        <f t="shared" si="111"/>
        <v/>
      </c>
      <c r="AS25" s="648" t="str">
        <f t="shared" si="111"/>
        <v/>
      </c>
      <c r="AT25" s="648" t="str">
        <f t="shared" si="111"/>
        <v/>
      </c>
      <c r="AU25" s="648" t="str">
        <f t="shared" si="111"/>
        <v/>
      </c>
      <c r="AV25" s="648" t="str">
        <f t="shared" si="111"/>
        <v/>
      </c>
      <c r="AW25" s="648" t="str">
        <f t="shared" si="111"/>
        <v/>
      </c>
      <c r="AX25" s="648" t="str">
        <f t="shared" si="111"/>
        <v/>
      </c>
      <c r="AY25" s="648" t="str">
        <f t="shared" si="111"/>
        <v/>
      </c>
      <c r="AZ25" s="648" t="str">
        <f t="shared" si="111"/>
        <v/>
      </c>
      <c r="BA25" s="649" t="str">
        <f t="shared" si="111"/>
        <v/>
      </c>
      <c r="BB25" s="647" t="str">
        <f t="shared" si="111"/>
        <v/>
      </c>
      <c r="BC25" s="648" t="str">
        <f t="shared" si="111"/>
        <v/>
      </c>
      <c r="BD25" s="648" t="str">
        <f t="shared" si="111"/>
        <v/>
      </c>
      <c r="BE25" s="648" t="str">
        <f t="shared" si="111"/>
        <v/>
      </c>
      <c r="BF25" s="648" t="str">
        <f t="shared" si="111"/>
        <v/>
      </c>
      <c r="BG25" s="648" t="str">
        <f t="shared" si="111"/>
        <v/>
      </c>
      <c r="BH25" s="648" t="str">
        <f t="shared" si="111"/>
        <v/>
      </c>
      <c r="BI25" s="648" t="str">
        <f t="shared" si="111"/>
        <v/>
      </c>
      <c r="BJ25" s="648" t="str">
        <f t="shared" si="111"/>
        <v/>
      </c>
      <c r="BK25" s="649" t="str">
        <f t="shared" si="111"/>
        <v/>
      </c>
      <c r="BL25" s="647" t="str">
        <f t="shared" si="111"/>
        <v/>
      </c>
      <c r="BM25" s="648" t="str">
        <f t="shared" si="111"/>
        <v/>
      </c>
      <c r="BN25" s="648" t="str">
        <f t="shared" si="111"/>
        <v/>
      </c>
      <c r="BO25" s="648" t="str">
        <f t="shared" si="111"/>
        <v/>
      </c>
      <c r="BP25" s="648" t="str">
        <f t="shared" ref="BP25:CE25" si="112">IF(BP5="","",BP21*BP23*365.25)</f>
        <v/>
      </c>
      <c r="BQ25" s="648" t="str">
        <f t="shared" si="112"/>
        <v/>
      </c>
      <c r="BR25" s="648" t="str">
        <f t="shared" si="112"/>
        <v/>
      </c>
      <c r="BS25" s="648" t="str">
        <f t="shared" si="112"/>
        <v/>
      </c>
      <c r="BT25" s="648" t="str">
        <f t="shared" si="112"/>
        <v/>
      </c>
      <c r="BU25" s="649" t="str">
        <f t="shared" si="112"/>
        <v/>
      </c>
      <c r="BV25" s="647" t="str">
        <f t="shared" si="112"/>
        <v/>
      </c>
      <c r="BW25" s="648" t="str">
        <f t="shared" si="112"/>
        <v/>
      </c>
      <c r="BX25" s="648" t="str">
        <f t="shared" si="112"/>
        <v/>
      </c>
      <c r="BY25" s="648" t="str">
        <f t="shared" si="112"/>
        <v/>
      </c>
      <c r="BZ25" s="648" t="str">
        <f t="shared" si="112"/>
        <v/>
      </c>
      <c r="CA25" s="648" t="str">
        <f t="shared" si="112"/>
        <v/>
      </c>
      <c r="CB25" s="648" t="str">
        <f t="shared" si="112"/>
        <v/>
      </c>
      <c r="CC25" s="648" t="str">
        <f t="shared" si="112"/>
        <v/>
      </c>
      <c r="CD25" s="648" t="str">
        <f t="shared" si="112"/>
        <v/>
      </c>
      <c r="CE25" s="649" t="str">
        <f t="shared" si="112"/>
        <v/>
      </c>
    </row>
    <row r="26" spans="1:83" ht="14.25" customHeight="1">
      <c r="A26" s="710" t="s">
        <v>572</v>
      </c>
      <c r="B26" s="711"/>
      <c r="C26" s="712" t="s">
        <v>204</v>
      </c>
      <c r="D26" s="713">
        <f>SUM(D25:CE25)</f>
        <v>0</v>
      </c>
      <c r="M26" s="640"/>
      <c r="W26" s="640"/>
      <c r="AG26" s="640"/>
      <c r="AQ26" s="640"/>
      <c r="BA26" s="640"/>
      <c r="BK26" s="640"/>
      <c r="BU26" s="640"/>
      <c r="CE26" s="640"/>
    </row>
    <row r="27" spans="1:83" ht="14.25" customHeight="1">
      <c r="A27" s="641"/>
      <c r="C27" s="640"/>
      <c r="M27" s="640"/>
      <c r="W27" s="640"/>
      <c r="AG27" s="640"/>
      <c r="AQ27" s="640"/>
      <c r="BA27" s="640"/>
      <c r="BK27" s="640"/>
      <c r="BU27" s="640"/>
      <c r="CE27" s="640"/>
    </row>
    <row r="28" spans="1:83" ht="14.25" customHeight="1">
      <c r="D28" s="10"/>
      <c r="M28" s="640"/>
      <c r="N28" s="81"/>
      <c r="O28" s="81"/>
      <c r="P28" s="81"/>
      <c r="Q28" s="81"/>
      <c r="R28" s="81"/>
      <c r="S28" s="81"/>
      <c r="T28" s="81"/>
      <c r="U28" s="81"/>
      <c r="V28" s="81"/>
      <c r="W28" s="640"/>
      <c r="X28" s="81"/>
      <c r="Y28" s="81"/>
      <c r="Z28" s="81"/>
      <c r="AA28" s="81"/>
      <c r="AB28" s="81"/>
      <c r="AC28" s="81"/>
      <c r="AD28" s="81"/>
      <c r="AE28" s="81"/>
      <c r="AF28" s="81"/>
      <c r="AG28" s="640"/>
      <c r="AH28" s="81"/>
      <c r="AI28" s="81"/>
      <c r="AJ28" s="81"/>
      <c r="AK28" s="81"/>
      <c r="AL28" s="81"/>
      <c r="AM28" s="81"/>
      <c r="AN28" s="81"/>
      <c r="AO28" s="81"/>
      <c r="AP28" s="81"/>
      <c r="AQ28" s="640"/>
      <c r="AR28" s="81"/>
      <c r="AS28" s="81"/>
      <c r="AT28" s="81"/>
      <c r="AU28" s="81"/>
      <c r="AV28" s="81"/>
      <c r="AW28" s="81"/>
      <c r="AX28" s="81"/>
      <c r="AY28" s="81"/>
      <c r="AZ28" s="81"/>
      <c r="BA28" s="640"/>
      <c r="BB28" s="81"/>
      <c r="BC28" s="81"/>
      <c r="BD28" s="81"/>
      <c r="BE28" s="81"/>
      <c r="BF28" s="81"/>
      <c r="BG28" s="81"/>
      <c r="BH28" s="81"/>
      <c r="BI28" s="81"/>
      <c r="BJ28" s="81"/>
      <c r="BK28" s="640"/>
      <c r="BL28" s="81"/>
      <c r="BM28" s="81"/>
      <c r="BN28" s="81"/>
      <c r="BO28" s="81"/>
      <c r="BP28" s="81"/>
      <c r="BQ28" s="81"/>
      <c r="BR28" s="81"/>
      <c r="BS28" s="81"/>
      <c r="BT28" s="81"/>
      <c r="BU28" s="640"/>
      <c r="BV28" s="81"/>
      <c r="BW28" s="81"/>
      <c r="BX28" s="81"/>
      <c r="BY28" s="81"/>
      <c r="BZ28" s="81"/>
      <c r="CA28" s="81"/>
      <c r="CB28" s="81"/>
      <c r="CC28" s="81"/>
      <c r="CD28" s="81"/>
      <c r="CE28" s="640"/>
    </row>
    <row r="29" spans="1:83" ht="14.25" customHeight="1">
      <c r="A29" s="1192" t="s">
        <v>573</v>
      </c>
      <c r="B29" s="1193"/>
      <c r="C29" s="1193"/>
      <c r="D29" s="716" t="e">
        <f t="shared" ref="D29:AI29" si="113">D7/3.6</f>
        <v>#VALUE!</v>
      </c>
      <c r="E29" s="717" t="e">
        <f t="shared" si="113"/>
        <v>#VALUE!</v>
      </c>
      <c r="F29" s="717" t="e">
        <f t="shared" si="113"/>
        <v>#VALUE!</v>
      </c>
      <c r="G29" s="717" t="e">
        <f t="shared" si="113"/>
        <v>#VALUE!</v>
      </c>
      <c r="H29" s="717" t="e">
        <f t="shared" si="113"/>
        <v>#VALUE!</v>
      </c>
      <c r="I29" s="717" t="e">
        <f t="shared" si="113"/>
        <v>#VALUE!</v>
      </c>
      <c r="J29" s="717" t="e">
        <f t="shared" si="113"/>
        <v>#VALUE!</v>
      </c>
      <c r="K29" s="717" t="e">
        <f t="shared" si="113"/>
        <v>#VALUE!</v>
      </c>
      <c r="L29" s="717" t="e">
        <f t="shared" si="113"/>
        <v>#VALUE!</v>
      </c>
      <c r="M29" s="718" t="e">
        <f t="shared" si="113"/>
        <v>#VALUE!</v>
      </c>
      <c r="N29" s="716" t="e">
        <f t="shared" si="113"/>
        <v>#VALUE!</v>
      </c>
      <c r="O29" s="717" t="e">
        <f t="shared" si="113"/>
        <v>#VALUE!</v>
      </c>
      <c r="P29" s="717" t="e">
        <f t="shared" si="113"/>
        <v>#VALUE!</v>
      </c>
      <c r="Q29" s="717" t="e">
        <f t="shared" si="113"/>
        <v>#VALUE!</v>
      </c>
      <c r="R29" s="717" t="e">
        <f t="shared" si="113"/>
        <v>#VALUE!</v>
      </c>
      <c r="S29" s="717" t="e">
        <f t="shared" si="113"/>
        <v>#VALUE!</v>
      </c>
      <c r="T29" s="717" t="e">
        <f t="shared" si="113"/>
        <v>#VALUE!</v>
      </c>
      <c r="U29" s="717" t="e">
        <f t="shared" si="113"/>
        <v>#VALUE!</v>
      </c>
      <c r="V29" s="717" t="e">
        <f t="shared" si="113"/>
        <v>#VALUE!</v>
      </c>
      <c r="W29" s="718" t="e">
        <f t="shared" si="113"/>
        <v>#VALUE!</v>
      </c>
      <c r="X29" s="716" t="e">
        <f t="shared" si="113"/>
        <v>#VALUE!</v>
      </c>
      <c r="Y29" s="717" t="e">
        <f t="shared" si="113"/>
        <v>#VALUE!</v>
      </c>
      <c r="Z29" s="717" t="e">
        <f t="shared" si="113"/>
        <v>#VALUE!</v>
      </c>
      <c r="AA29" s="717" t="e">
        <f t="shared" si="113"/>
        <v>#VALUE!</v>
      </c>
      <c r="AB29" s="717" t="e">
        <f t="shared" si="113"/>
        <v>#VALUE!</v>
      </c>
      <c r="AC29" s="717" t="e">
        <f t="shared" si="113"/>
        <v>#VALUE!</v>
      </c>
      <c r="AD29" s="717" t="e">
        <f t="shared" si="113"/>
        <v>#VALUE!</v>
      </c>
      <c r="AE29" s="717" t="e">
        <f t="shared" si="113"/>
        <v>#VALUE!</v>
      </c>
      <c r="AF29" s="717" t="e">
        <f t="shared" si="113"/>
        <v>#VALUE!</v>
      </c>
      <c r="AG29" s="718" t="e">
        <f t="shared" si="113"/>
        <v>#VALUE!</v>
      </c>
      <c r="AH29" s="716" t="e">
        <f t="shared" si="113"/>
        <v>#VALUE!</v>
      </c>
      <c r="AI29" s="717" t="e">
        <f t="shared" si="113"/>
        <v>#VALUE!</v>
      </c>
      <c r="AJ29" s="717" t="e">
        <f t="shared" ref="AJ29:BO29" si="114">AJ7/3.6</f>
        <v>#VALUE!</v>
      </c>
      <c r="AK29" s="717" t="e">
        <f t="shared" si="114"/>
        <v>#VALUE!</v>
      </c>
      <c r="AL29" s="717" t="e">
        <f t="shared" si="114"/>
        <v>#VALUE!</v>
      </c>
      <c r="AM29" s="717" t="e">
        <f t="shared" si="114"/>
        <v>#VALUE!</v>
      </c>
      <c r="AN29" s="717" t="e">
        <f t="shared" si="114"/>
        <v>#VALUE!</v>
      </c>
      <c r="AO29" s="717" t="e">
        <f t="shared" si="114"/>
        <v>#VALUE!</v>
      </c>
      <c r="AP29" s="717" t="e">
        <f t="shared" si="114"/>
        <v>#VALUE!</v>
      </c>
      <c r="AQ29" s="718" t="e">
        <f t="shared" si="114"/>
        <v>#VALUE!</v>
      </c>
      <c r="AR29" s="716" t="e">
        <f t="shared" si="114"/>
        <v>#VALUE!</v>
      </c>
      <c r="AS29" s="717" t="e">
        <f t="shared" si="114"/>
        <v>#VALUE!</v>
      </c>
      <c r="AT29" s="717" t="e">
        <f t="shared" si="114"/>
        <v>#VALUE!</v>
      </c>
      <c r="AU29" s="717" t="e">
        <f t="shared" si="114"/>
        <v>#VALUE!</v>
      </c>
      <c r="AV29" s="717" t="e">
        <f t="shared" si="114"/>
        <v>#VALUE!</v>
      </c>
      <c r="AW29" s="717" t="e">
        <f t="shared" si="114"/>
        <v>#VALUE!</v>
      </c>
      <c r="AX29" s="717" t="e">
        <f t="shared" si="114"/>
        <v>#VALUE!</v>
      </c>
      <c r="AY29" s="717" t="e">
        <f t="shared" si="114"/>
        <v>#VALUE!</v>
      </c>
      <c r="AZ29" s="717" t="e">
        <f t="shared" si="114"/>
        <v>#VALUE!</v>
      </c>
      <c r="BA29" s="718" t="e">
        <f t="shared" si="114"/>
        <v>#VALUE!</v>
      </c>
      <c r="BB29" s="716" t="e">
        <f t="shared" si="114"/>
        <v>#VALUE!</v>
      </c>
      <c r="BC29" s="717" t="e">
        <f t="shared" si="114"/>
        <v>#VALUE!</v>
      </c>
      <c r="BD29" s="717" t="e">
        <f t="shared" si="114"/>
        <v>#VALUE!</v>
      </c>
      <c r="BE29" s="717" t="e">
        <f t="shared" si="114"/>
        <v>#VALUE!</v>
      </c>
      <c r="BF29" s="717" t="e">
        <f t="shared" si="114"/>
        <v>#VALUE!</v>
      </c>
      <c r="BG29" s="717" t="e">
        <f t="shared" si="114"/>
        <v>#VALUE!</v>
      </c>
      <c r="BH29" s="717" t="e">
        <f t="shared" si="114"/>
        <v>#VALUE!</v>
      </c>
      <c r="BI29" s="717" t="e">
        <f t="shared" si="114"/>
        <v>#VALUE!</v>
      </c>
      <c r="BJ29" s="717" t="e">
        <f t="shared" si="114"/>
        <v>#VALUE!</v>
      </c>
      <c r="BK29" s="718" t="e">
        <f t="shared" si="114"/>
        <v>#VALUE!</v>
      </c>
      <c r="BL29" s="716" t="e">
        <f t="shared" si="114"/>
        <v>#VALUE!</v>
      </c>
      <c r="BM29" s="717" t="e">
        <f t="shared" si="114"/>
        <v>#VALUE!</v>
      </c>
      <c r="BN29" s="717" t="e">
        <f t="shared" si="114"/>
        <v>#VALUE!</v>
      </c>
      <c r="BO29" s="717" t="e">
        <f t="shared" si="114"/>
        <v>#VALUE!</v>
      </c>
      <c r="BP29" s="717" t="e">
        <f t="shared" ref="BP29:CE29" si="115">BP7/3.6</f>
        <v>#VALUE!</v>
      </c>
      <c r="BQ29" s="717" t="e">
        <f t="shared" si="115"/>
        <v>#VALUE!</v>
      </c>
      <c r="BR29" s="717" t="e">
        <f t="shared" si="115"/>
        <v>#VALUE!</v>
      </c>
      <c r="BS29" s="717" t="e">
        <f t="shared" si="115"/>
        <v>#VALUE!</v>
      </c>
      <c r="BT29" s="717" t="e">
        <f t="shared" si="115"/>
        <v>#VALUE!</v>
      </c>
      <c r="BU29" s="718" t="e">
        <f t="shared" si="115"/>
        <v>#VALUE!</v>
      </c>
      <c r="BV29" s="716" t="e">
        <f t="shared" si="115"/>
        <v>#VALUE!</v>
      </c>
      <c r="BW29" s="717" t="e">
        <f t="shared" si="115"/>
        <v>#VALUE!</v>
      </c>
      <c r="BX29" s="717" t="e">
        <f t="shared" si="115"/>
        <v>#VALUE!</v>
      </c>
      <c r="BY29" s="717" t="e">
        <f t="shared" si="115"/>
        <v>#VALUE!</v>
      </c>
      <c r="BZ29" s="717" t="e">
        <f t="shared" si="115"/>
        <v>#VALUE!</v>
      </c>
      <c r="CA29" s="717" t="e">
        <f t="shared" si="115"/>
        <v>#VALUE!</v>
      </c>
      <c r="CB29" s="717" t="e">
        <f t="shared" si="115"/>
        <v>#VALUE!</v>
      </c>
      <c r="CC29" s="717" t="e">
        <f t="shared" si="115"/>
        <v>#VALUE!</v>
      </c>
      <c r="CD29" s="717" t="e">
        <f t="shared" si="115"/>
        <v>#VALUE!</v>
      </c>
      <c r="CE29" s="718" t="e">
        <f t="shared" si="115"/>
        <v>#VALUE!</v>
      </c>
    </row>
    <row r="30" spans="1:83" ht="14.25" customHeight="1">
      <c r="A30" s="1194"/>
      <c r="B30" s="1195"/>
      <c r="C30" s="1195"/>
      <c r="D30" s="719">
        <f>Parameter!$C$152/((273.15+Parameter!$C$153)*287)</f>
        <v>1.1638585932970211</v>
      </c>
      <c r="E30" s="720">
        <f>Parameter!$C$152/((273.15+Parameter!$C$153)*287)</f>
        <v>1.1638585932970211</v>
      </c>
      <c r="F30" s="720">
        <f>Parameter!$C$152/((273.15+Parameter!$C$153)*287)</f>
        <v>1.1638585932970211</v>
      </c>
      <c r="G30" s="720">
        <f>Parameter!$C$152/((273.15+Parameter!$C$153)*287)</f>
        <v>1.1638585932970211</v>
      </c>
      <c r="H30" s="720">
        <f>Parameter!$C$152/((273.15+Parameter!$C$153)*287)</f>
        <v>1.1638585932970211</v>
      </c>
      <c r="I30" s="720">
        <f>Parameter!$C$152/((273.15+Parameter!$C$153)*287)</f>
        <v>1.1638585932970211</v>
      </c>
      <c r="J30" s="720">
        <f>Parameter!$C$152/((273.15+Parameter!$C$153)*287)</f>
        <v>1.1638585932970211</v>
      </c>
      <c r="K30" s="720">
        <f>Parameter!$C$152/((273.15+Parameter!$C$153)*287)</f>
        <v>1.1638585932970211</v>
      </c>
      <c r="L30" s="720">
        <f>Parameter!$C$152/((273.15+Parameter!$C$153)*287)</f>
        <v>1.1638585932970211</v>
      </c>
      <c r="M30" s="721">
        <f>Parameter!$C$152/((273.15+Parameter!$C$153)*287)</f>
        <v>1.1638585932970211</v>
      </c>
      <c r="N30" s="719">
        <f>Parameter!$C$152/((273.15+Parameter!$C$153)*287)</f>
        <v>1.1638585932970211</v>
      </c>
      <c r="O30" s="720">
        <f>Parameter!$C$152/((273.15+Parameter!$C$153)*287)</f>
        <v>1.1638585932970211</v>
      </c>
      <c r="P30" s="720">
        <f>Parameter!$C$152/((273.15+Parameter!$C$153)*287)</f>
        <v>1.1638585932970211</v>
      </c>
      <c r="Q30" s="720">
        <f>Parameter!$C$152/((273.15+Parameter!$C$153)*287)</f>
        <v>1.1638585932970211</v>
      </c>
      <c r="R30" s="720">
        <f>Parameter!$C$152/((273.15+Parameter!$C$153)*287)</f>
        <v>1.1638585932970211</v>
      </c>
      <c r="S30" s="720">
        <f>Parameter!$C$152/((273.15+Parameter!$C$153)*287)</f>
        <v>1.1638585932970211</v>
      </c>
      <c r="T30" s="720">
        <f>Parameter!$C$152/((273.15+Parameter!$C$153)*287)</f>
        <v>1.1638585932970211</v>
      </c>
      <c r="U30" s="720">
        <f>Parameter!$C$152/((273.15+Parameter!$C$153)*287)</f>
        <v>1.1638585932970211</v>
      </c>
      <c r="V30" s="720">
        <f>Parameter!$C$152/((273.15+Parameter!$C$153)*287)</f>
        <v>1.1638585932970211</v>
      </c>
      <c r="W30" s="721">
        <f>Parameter!$C$152/((273.15+Parameter!$C$153)*287)</f>
        <v>1.1638585932970211</v>
      </c>
      <c r="X30" s="719">
        <f>Parameter!$C$152/((273.15+Parameter!$C$153)*287)</f>
        <v>1.1638585932970211</v>
      </c>
      <c r="Y30" s="720">
        <f>Parameter!$C$152/((273.15+Parameter!$C$153)*287)</f>
        <v>1.1638585932970211</v>
      </c>
      <c r="Z30" s="720">
        <f>Parameter!$C$152/((273.15+Parameter!$C$153)*287)</f>
        <v>1.1638585932970211</v>
      </c>
      <c r="AA30" s="720">
        <f>Parameter!$C$152/((273.15+Parameter!$C$153)*287)</f>
        <v>1.1638585932970211</v>
      </c>
      <c r="AB30" s="720">
        <f>Parameter!$C$152/((273.15+Parameter!$C$153)*287)</f>
        <v>1.1638585932970211</v>
      </c>
      <c r="AC30" s="720">
        <f>Parameter!$C$152/((273.15+Parameter!$C$153)*287)</f>
        <v>1.1638585932970211</v>
      </c>
      <c r="AD30" s="720">
        <f>Parameter!$C$152/((273.15+Parameter!$C$153)*287)</f>
        <v>1.1638585932970211</v>
      </c>
      <c r="AE30" s="720">
        <f>Parameter!$C$152/((273.15+Parameter!$C$153)*287)</f>
        <v>1.1638585932970211</v>
      </c>
      <c r="AF30" s="720">
        <f>Parameter!$C$152/((273.15+Parameter!$C$153)*287)</f>
        <v>1.1638585932970211</v>
      </c>
      <c r="AG30" s="721">
        <f>Parameter!$C$152/((273.15+Parameter!$C$153)*287)</f>
        <v>1.1638585932970211</v>
      </c>
      <c r="AH30" s="719">
        <f>Parameter!$C$152/((273.15+Parameter!$C$153)*287)</f>
        <v>1.1638585932970211</v>
      </c>
      <c r="AI30" s="720">
        <f>Parameter!$C$152/((273.15+Parameter!$C$153)*287)</f>
        <v>1.1638585932970211</v>
      </c>
      <c r="AJ30" s="720">
        <f>Parameter!$C$152/((273.15+Parameter!$C$153)*287)</f>
        <v>1.1638585932970211</v>
      </c>
      <c r="AK30" s="720">
        <f>Parameter!$C$152/((273.15+Parameter!$C$153)*287)</f>
        <v>1.1638585932970211</v>
      </c>
      <c r="AL30" s="720">
        <f>Parameter!$C$152/((273.15+Parameter!$C$153)*287)</f>
        <v>1.1638585932970211</v>
      </c>
      <c r="AM30" s="720">
        <f>Parameter!$C$152/((273.15+Parameter!$C$153)*287)</f>
        <v>1.1638585932970211</v>
      </c>
      <c r="AN30" s="720">
        <f>Parameter!$C$152/((273.15+Parameter!$C$153)*287)</f>
        <v>1.1638585932970211</v>
      </c>
      <c r="AO30" s="720">
        <f>Parameter!$C$152/((273.15+Parameter!$C$153)*287)</f>
        <v>1.1638585932970211</v>
      </c>
      <c r="AP30" s="720">
        <f>Parameter!$C$152/((273.15+Parameter!$C$153)*287)</f>
        <v>1.1638585932970211</v>
      </c>
      <c r="AQ30" s="721">
        <f>Parameter!$C$152/((273.15+Parameter!$C$153)*287)</f>
        <v>1.1638585932970211</v>
      </c>
      <c r="AR30" s="719">
        <f>Parameter!$C$152/((273.15+Parameter!$C$153)*287)</f>
        <v>1.1638585932970211</v>
      </c>
      <c r="AS30" s="720">
        <f>Parameter!$C$152/((273.15+Parameter!$C$153)*287)</f>
        <v>1.1638585932970211</v>
      </c>
      <c r="AT30" s="720">
        <f>Parameter!$C$152/((273.15+Parameter!$C$153)*287)</f>
        <v>1.1638585932970211</v>
      </c>
      <c r="AU30" s="720">
        <f>Parameter!$C$152/((273.15+Parameter!$C$153)*287)</f>
        <v>1.1638585932970211</v>
      </c>
      <c r="AV30" s="720">
        <f>Parameter!$C$152/((273.15+Parameter!$C$153)*287)</f>
        <v>1.1638585932970211</v>
      </c>
      <c r="AW30" s="720">
        <f>Parameter!$C$152/((273.15+Parameter!$C$153)*287)</f>
        <v>1.1638585932970211</v>
      </c>
      <c r="AX30" s="720">
        <f>Parameter!$C$152/((273.15+Parameter!$C$153)*287)</f>
        <v>1.1638585932970211</v>
      </c>
      <c r="AY30" s="720">
        <f>Parameter!$C$152/((273.15+Parameter!$C$153)*287)</f>
        <v>1.1638585932970211</v>
      </c>
      <c r="AZ30" s="720">
        <f>Parameter!$C$152/((273.15+Parameter!$C$153)*287)</f>
        <v>1.1638585932970211</v>
      </c>
      <c r="BA30" s="721">
        <f>Parameter!$C$152/((273.15+Parameter!$C$153)*287)</f>
        <v>1.1638585932970211</v>
      </c>
      <c r="BB30" s="719">
        <f>Parameter!$C$152/((273.15+Parameter!$C$153)*287)</f>
        <v>1.1638585932970211</v>
      </c>
      <c r="BC30" s="720">
        <f>Parameter!$C$152/((273.15+Parameter!$C$153)*287)</f>
        <v>1.1638585932970211</v>
      </c>
      <c r="BD30" s="720">
        <f>Parameter!$C$152/((273.15+Parameter!$C$153)*287)</f>
        <v>1.1638585932970211</v>
      </c>
      <c r="BE30" s="720">
        <f>Parameter!$C$152/((273.15+Parameter!$C$153)*287)</f>
        <v>1.1638585932970211</v>
      </c>
      <c r="BF30" s="720">
        <f>Parameter!$C$152/((273.15+Parameter!$C$153)*287)</f>
        <v>1.1638585932970211</v>
      </c>
      <c r="BG30" s="720">
        <f>Parameter!$C$152/((273.15+Parameter!$C$153)*287)</f>
        <v>1.1638585932970211</v>
      </c>
      <c r="BH30" s="720">
        <f>Parameter!$C$152/((273.15+Parameter!$C$153)*287)</f>
        <v>1.1638585932970211</v>
      </c>
      <c r="BI30" s="720">
        <f>Parameter!$C$152/((273.15+Parameter!$C$153)*287)</f>
        <v>1.1638585932970211</v>
      </c>
      <c r="BJ30" s="720">
        <f>Parameter!$C$152/((273.15+Parameter!$C$153)*287)</f>
        <v>1.1638585932970211</v>
      </c>
      <c r="BK30" s="721">
        <f>Parameter!$C$152/((273.15+Parameter!$C$153)*287)</f>
        <v>1.1638585932970211</v>
      </c>
      <c r="BL30" s="719">
        <f>Parameter!$C$152/((273.15+Parameter!$C$153)*287)</f>
        <v>1.1638585932970211</v>
      </c>
      <c r="BM30" s="720">
        <f>Parameter!$C$152/((273.15+Parameter!$C$153)*287)</f>
        <v>1.1638585932970211</v>
      </c>
      <c r="BN30" s="720">
        <f>Parameter!$C$152/((273.15+Parameter!$C$153)*287)</f>
        <v>1.1638585932970211</v>
      </c>
      <c r="BO30" s="720">
        <f>Parameter!$C$152/((273.15+Parameter!$C$153)*287)</f>
        <v>1.1638585932970211</v>
      </c>
      <c r="BP30" s="720">
        <f>Parameter!$C$152/((273.15+Parameter!$C$153)*287)</f>
        <v>1.1638585932970211</v>
      </c>
      <c r="BQ30" s="720">
        <f>Parameter!$C$152/((273.15+Parameter!$C$153)*287)</f>
        <v>1.1638585932970211</v>
      </c>
      <c r="BR30" s="720">
        <f>Parameter!$C$152/((273.15+Parameter!$C$153)*287)</f>
        <v>1.1638585932970211</v>
      </c>
      <c r="BS30" s="720">
        <f>Parameter!$C$152/((273.15+Parameter!$C$153)*287)</f>
        <v>1.1638585932970211</v>
      </c>
      <c r="BT30" s="720">
        <f>Parameter!$C$152/((273.15+Parameter!$C$153)*287)</f>
        <v>1.1638585932970211</v>
      </c>
      <c r="BU30" s="721">
        <f>Parameter!$C$152/((273.15+Parameter!$C$153)*287)</f>
        <v>1.1638585932970211</v>
      </c>
      <c r="BV30" s="719">
        <f>Parameter!$C$152/((273.15+Parameter!$C$153)*287)</f>
        <v>1.1638585932970211</v>
      </c>
      <c r="BW30" s="720">
        <f>Parameter!$C$152/((273.15+Parameter!$C$153)*287)</f>
        <v>1.1638585932970211</v>
      </c>
      <c r="BX30" s="720">
        <f>Parameter!$C$152/((273.15+Parameter!$C$153)*287)</f>
        <v>1.1638585932970211</v>
      </c>
      <c r="BY30" s="720">
        <f>Parameter!$C$152/((273.15+Parameter!$C$153)*287)</f>
        <v>1.1638585932970211</v>
      </c>
      <c r="BZ30" s="720">
        <f>Parameter!$C$152/((273.15+Parameter!$C$153)*287)</f>
        <v>1.1638585932970211</v>
      </c>
      <c r="CA30" s="720">
        <f>Parameter!$C$152/((273.15+Parameter!$C$153)*287)</f>
        <v>1.1638585932970211</v>
      </c>
      <c r="CB30" s="720">
        <f>Parameter!$C$152/((273.15+Parameter!$C$153)*287)</f>
        <v>1.1638585932970211</v>
      </c>
      <c r="CC30" s="720">
        <f>Parameter!$C$152/((273.15+Parameter!$C$153)*287)</f>
        <v>1.1638585932970211</v>
      </c>
      <c r="CD30" s="720">
        <f>Parameter!$C$152/((273.15+Parameter!$C$153)*287)</f>
        <v>1.1638585932970211</v>
      </c>
      <c r="CE30" s="721">
        <f>Parameter!$C$152/((273.15+Parameter!$C$153)*287)</f>
        <v>1.1638585932970211</v>
      </c>
    </row>
    <row r="31" spans="1:83" ht="14.25" customHeight="1">
      <c r="A31" s="1194"/>
      <c r="B31" s="1195"/>
      <c r="C31" s="1195"/>
      <c r="D31" s="719">
        <f>SQRT(1.4*287*(273+Parameter!$C$153))</f>
        <v>340.17407308611865</v>
      </c>
      <c r="E31" s="720">
        <f>SQRT(1.4*287*(273+Parameter!$C$153))</f>
        <v>340.17407308611865</v>
      </c>
      <c r="F31" s="720">
        <f>SQRT(1.4*287*(273+Parameter!$C$153))</f>
        <v>340.17407308611865</v>
      </c>
      <c r="G31" s="720">
        <f>SQRT(1.4*287*(273+Parameter!$C$153))</f>
        <v>340.17407308611865</v>
      </c>
      <c r="H31" s="720">
        <f>SQRT(1.4*287*(273+Parameter!$C$153))</f>
        <v>340.17407308611865</v>
      </c>
      <c r="I31" s="720">
        <f>SQRT(1.4*287*(273+Parameter!$C$153))</f>
        <v>340.17407308611865</v>
      </c>
      <c r="J31" s="720">
        <f>SQRT(1.4*287*(273+Parameter!$C$153))</f>
        <v>340.17407308611865</v>
      </c>
      <c r="K31" s="720">
        <f>SQRT(1.4*287*(273+Parameter!$C$153))</f>
        <v>340.17407308611865</v>
      </c>
      <c r="L31" s="720">
        <f>SQRT(1.4*287*(273+Parameter!$C$153))</f>
        <v>340.17407308611865</v>
      </c>
      <c r="M31" s="721">
        <f>SQRT(1.4*287*(273+Parameter!$C$153))</f>
        <v>340.17407308611865</v>
      </c>
      <c r="N31" s="719">
        <f>SQRT(1.4*287*(273+Parameter!$C$153))</f>
        <v>340.17407308611865</v>
      </c>
      <c r="O31" s="720">
        <f>SQRT(1.4*287*(273+Parameter!$C$153))</f>
        <v>340.17407308611865</v>
      </c>
      <c r="P31" s="720">
        <f>SQRT(1.4*287*(273+Parameter!$C$153))</f>
        <v>340.17407308611865</v>
      </c>
      <c r="Q31" s="720">
        <f>SQRT(1.4*287*(273+Parameter!$C$153))</f>
        <v>340.17407308611865</v>
      </c>
      <c r="R31" s="720">
        <f>SQRT(1.4*287*(273+Parameter!$C$153))</f>
        <v>340.17407308611865</v>
      </c>
      <c r="S31" s="720">
        <f>SQRT(1.4*287*(273+Parameter!$C$153))</f>
        <v>340.17407308611865</v>
      </c>
      <c r="T31" s="720">
        <f>SQRT(1.4*287*(273+Parameter!$C$153))</f>
        <v>340.17407308611865</v>
      </c>
      <c r="U31" s="720">
        <f>SQRT(1.4*287*(273+Parameter!$C$153))</f>
        <v>340.17407308611865</v>
      </c>
      <c r="V31" s="720">
        <f>SQRT(1.4*287*(273+Parameter!$C$153))</f>
        <v>340.17407308611865</v>
      </c>
      <c r="W31" s="721">
        <f>SQRT(1.4*287*(273+Parameter!$C$153))</f>
        <v>340.17407308611865</v>
      </c>
      <c r="X31" s="719">
        <f>SQRT(1.4*287*(273+Parameter!$C$153))</f>
        <v>340.17407308611865</v>
      </c>
      <c r="Y31" s="720">
        <f>SQRT(1.4*287*(273+Parameter!$C$153))</f>
        <v>340.17407308611865</v>
      </c>
      <c r="Z31" s="720">
        <f>SQRT(1.4*287*(273+Parameter!$C$153))</f>
        <v>340.17407308611865</v>
      </c>
      <c r="AA31" s="720">
        <f>SQRT(1.4*287*(273+Parameter!$C$153))</f>
        <v>340.17407308611865</v>
      </c>
      <c r="AB31" s="720">
        <f>SQRT(1.4*287*(273+Parameter!$C$153))</f>
        <v>340.17407308611865</v>
      </c>
      <c r="AC31" s="720">
        <f>SQRT(1.4*287*(273+Parameter!$C$153))</f>
        <v>340.17407308611865</v>
      </c>
      <c r="AD31" s="720">
        <f>SQRT(1.4*287*(273+Parameter!$C$153))</f>
        <v>340.17407308611865</v>
      </c>
      <c r="AE31" s="720">
        <f>SQRT(1.4*287*(273+Parameter!$C$153))</f>
        <v>340.17407308611865</v>
      </c>
      <c r="AF31" s="720">
        <f>SQRT(1.4*287*(273+Parameter!$C$153))</f>
        <v>340.17407308611865</v>
      </c>
      <c r="AG31" s="721">
        <f>SQRT(1.4*287*(273+Parameter!$C$153))</f>
        <v>340.17407308611865</v>
      </c>
      <c r="AH31" s="719">
        <f>SQRT(1.4*287*(273+Parameter!$C$153))</f>
        <v>340.17407308611865</v>
      </c>
      <c r="AI31" s="720">
        <f>SQRT(1.4*287*(273+Parameter!$C$153))</f>
        <v>340.17407308611865</v>
      </c>
      <c r="AJ31" s="720">
        <f>SQRT(1.4*287*(273+Parameter!$C$153))</f>
        <v>340.17407308611865</v>
      </c>
      <c r="AK31" s="720">
        <f>SQRT(1.4*287*(273+Parameter!$C$153))</f>
        <v>340.17407308611865</v>
      </c>
      <c r="AL31" s="720">
        <f>SQRT(1.4*287*(273+Parameter!$C$153))</f>
        <v>340.17407308611865</v>
      </c>
      <c r="AM31" s="720">
        <f>SQRT(1.4*287*(273+Parameter!$C$153))</f>
        <v>340.17407308611865</v>
      </c>
      <c r="AN31" s="720">
        <f>SQRT(1.4*287*(273+Parameter!$C$153))</f>
        <v>340.17407308611865</v>
      </c>
      <c r="AO31" s="720">
        <f>SQRT(1.4*287*(273+Parameter!$C$153))</f>
        <v>340.17407308611865</v>
      </c>
      <c r="AP31" s="720">
        <f>SQRT(1.4*287*(273+Parameter!$C$153))</f>
        <v>340.17407308611865</v>
      </c>
      <c r="AQ31" s="721">
        <f>SQRT(1.4*287*(273+Parameter!$C$153))</f>
        <v>340.17407308611865</v>
      </c>
      <c r="AR31" s="719">
        <f>SQRT(1.4*287*(273+Parameter!$C$153))</f>
        <v>340.17407308611865</v>
      </c>
      <c r="AS31" s="720">
        <f>SQRT(1.4*287*(273+Parameter!$C$153))</f>
        <v>340.17407308611865</v>
      </c>
      <c r="AT31" s="720">
        <f>SQRT(1.4*287*(273+Parameter!$C$153))</f>
        <v>340.17407308611865</v>
      </c>
      <c r="AU31" s="720">
        <f>SQRT(1.4*287*(273+Parameter!$C$153))</f>
        <v>340.17407308611865</v>
      </c>
      <c r="AV31" s="720">
        <f>SQRT(1.4*287*(273+Parameter!$C$153))</f>
        <v>340.17407308611865</v>
      </c>
      <c r="AW31" s="720">
        <f>SQRT(1.4*287*(273+Parameter!$C$153))</f>
        <v>340.17407308611865</v>
      </c>
      <c r="AX31" s="720">
        <f>SQRT(1.4*287*(273+Parameter!$C$153))</f>
        <v>340.17407308611865</v>
      </c>
      <c r="AY31" s="720">
        <f>SQRT(1.4*287*(273+Parameter!$C$153))</f>
        <v>340.17407308611865</v>
      </c>
      <c r="AZ31" s="720">
        <f>SQRT(1.4*287*(273+Parameter!$C$153))</f>
        <v>340.17407308611865</v>
      </c>
      <c r="BA31" s="721">
        <f>SQRT(1.4*287*(273+Parameter!$C$153))</f>
        <v>340.17407308611865</v>
      </c>
      <c r="BB31" s="719">
        <f>SQRT(1.4*287*(273+Parameter!$C$153))</f>
        <v>340.17407308611865</v>
      </c>
      <c r="BC31" s="720">
        <f>SQRT(1.4*287*(273+Parameter!$C$153))</f>
        <v>340.17407308611865</v>
      </c>
      <c r="BD31" s="720">
        <f>SQRT(1.4*287*(273+Parameter!$C$153))</f>
        <v>340.17407308611865</v>
      </c>
      <c r="BE31" s="720">
        <f>SQRT(1.4*287*(273+Parameter!$C$153))</f>
        <v>340.17407308611865</v>
      </c>
      <c r="BF31" s="720">
        <f>SQRT(1.4*287*(273+Parameter!$C$153))</f>
        <v>340.17407308611865</v>
      </c>
      <c r="BG31" s="720">
        <f>SQRT(1.4*287*(273+Parameter!$C$153))</f>
        <v>340.17407308611865</v>
      </c>
      <c r="BH31" s="720">
        <f>SQRT(1.4*287*(273+Parameter!$C$153))</f>
        <v>340.17407308611865</v>
      </c>
      <c r="BI31" s="720">
        <f>SQRT(1.4*287*(273+Parameter!$C$153))</f>
        <v>340.17407308611865</v>
      </c>
      <c r="BJ31" s="720">
        <f>SQRT(1.4*287*(273+Parameter!$C$153))</f>
        <v>340.17407308611865</v>
      </c>
      <c r="BK31" s="721">
        <f>SQRT(1.4*287*(273+Parameter!$C$153))</f>
        <v>340.17407308611865</v>
      </c>
      <c r="BL31" s="719">
        <f>SQRT(1.4*287*(273+Parameter!$C$153))</f>
        <v>340.17407308611865</v>
      </c>
      <c r="BM31" s="720">
        <f>SQRT(1.4*287*(273+Parameter!$C$153))</f>
        <v>340.17407308611865</v>
      </c>
      <c r="BN31" s="720">
        <f>SQRT(1.4*287*(273+Parameter!$C$153))</f>
        <v>340.17407308611865</v>
      </c>
      <c r="BO31" s="720">
        <f>SQRT(1.4*287*(273+Parameter!$C$153))</f>
        <v>340.17407308611865</v>
      </c>
      <c r="BP31" s="720">
        <f>SQRT(1.4*287*(273+Parameter!$C$153))</f>
        <v>340.17407308611865</v>
      </c>
      <c r="BQ31" s="720">
        <f>SQRT(1.4*287*(273+Parameter!$C$153))</f>
        <v>340.17407308611865</v>
      </c>
      <c r="BR31" s="720">
        <f>SQRT(1.4*287*(273+Parameter!$C$153))</f>
        <v>340.17407308611865</v>
      </c>
      <c r="BS31" s="720">
        <f>SQRT(1.4*287*(273+Parameter!$C$153))</f>
        <v>340.17407308611865</v>
      </c>
      <c r="BT31" s="720">
        <f>SQRT(1.4*287*(273+Parameter!$C$153))</f>
        <v>340.17407308611865</v>
      </c>
      <c r="BU31" s="721">
        <f>SQRT(1.4*287*(273+Parameter!$C$153))</f>
        <v>340.17407308611865</v>
      </c>
      <c r="BV31" s="719">
        <f>SQRT(1.4*287*(273+Parameter!$C$153))</f>
        <v>340.17407308611865</v>
      </c>
      <c r="BW31" s="720">
        <f>SQRT(1.4*287*(273+Parameter!$C$153))</f>
        <v>340.17407308611865</v>
      </c>
      <c r="BX31" s="720">
        <f>SQRT(1.4*287*(273+Parameter!$C$153))</f>
        <v>340.17407308611865</v>
      </c>
      <c r="BY31" s="720">
        <f>SQRT(1.4*287*(273+Parameter!$C$153))</f>
        <v>340.17407308611865</v>
      </c>
      <c r="BZ31" s="720">
        <f>SQRT(1.4*287*(273+Parameter!$C$153))</f>
        <v>340.17407308611865</v>
      </c>
      <c r="CA31" s="720">
        <f>SQRT(1.4*287*(273+Parameter!$C$153))</f>
        <v>340.17407308611865</v>
      </c>
      <c r="CB31" s="720">
        <f>SQRT(1.4*287*(273+Parameter!$C$153))</f>
        <v>340.17407308611865</v>
      </c>
      <c r="CC31" s="720">
        <f>SQRT(1.4*287*(273+Parameter!$C$153))</f>
        <v>340.17407308611865</v>
      </c>
      <c r="CD31" s="720">
        <f>SQRT(1.4*287*(273+Parameter!$C$153))</f>
        <v>340.17407308611865</v>
      </c>
      <c r="CE31" s="721">
        <f>SQRT(1.4*287*(273+Parameter!$C$153))</f>
        <v>340.17407308611865</v>
      </c>
    </row>
    <row r="32" spans="1:83" ht="14.25" customHeight="1">
      <c r="A32" s="1194"/>
      <c r="B32" s="1195"/>
      <c r="C32" s="1195"/>
      <c r="D32" s="719" t="e">
        <f t="shared" ref="D32:AI32" si="116">2*12.96/(D9*D30)*D12</f>
        <v>#VALUE!</v>
      </c>
      <c r="E32" s="720" t="e">
        <f t="shared" si="116"/>
        <v>#VALUE!</v>
      </c>
      <c r="F32" s="720" t="e">
        <f t="shared" si="116"/>
        <v>#VALUE!</v>
      </c>
      <c r="G32" s="720" t="e">
        <f t="shared" si="116"/>
        <v>#VALUE!</v>
      </c>
      <c r="H32" s="720" t="e">
        <f t="shared" si="116"/>
        <v>#VALUE!</v>
      </c>
      <c r="I32" s="720" t="e">
        <f t="shared" si="116"/>
        <v>#VALUE!</v>
      </c>
      <c r="J32" s="720" t="e">
        <f t="shared" si="116"/>
        <v>#VALUE!</v>
      </c>
      <c r="K32" s="720" t="e">
        <f t="shared" si="116"/>
        <v>#VALUE!</v>
      </c>
      <c r="L32" s="720" t="e">
        <f t="shared" si="116"/>
        <v>#VALUE!</v>
      </c>
      <c r="M32" s="721" t="e">
        <f t="shared" si="116"/>
        <v>#VALUE!</v>
      </c>
      <c r="N32" s="719" t="e">
        <f t="shared" si="116"/>
        <v>#VALUE!</v>
      </c>
      <c r="O32" s="720" t="e">
        <f t="shared" si="116"/>
        <v>#VALUE!</v>
      </c>
      <c r="P32" s="720" t="e">
        <f t="shared" si="116"/>
        <v>#VALUE!</v>
      </c>
      <c r="Q32" s="720" t="e">
        <f t="shared" si="116"/>
        <v>#VALUE!</v>
      </c>
      <c r="R32" s="720" t="e">
        <f t="shared" si="116"/>
        <v>#VALUE!</v>
      </c>
      <c r="S32" s="720" t="e">
        <f t="shared" si="116"/>
        <v>#VALUE!</v>
      </c>
      <c r="T32" s="720" t="e">
        <f t="shared" si="116"/>
        <v>#VALUE!</v>
      </c>
      <c r="U32" s="720" t="e">
        <f t="shared" si="116"/>
        <v>#VALUE!</v>
      </c>
      <c r="V32" s="720" t="e">
        <f t="shared" si="116"/>
        <v>#VALUE!</v>
      </c>
      <c r="W32" s="721" t="e">
        <f t="shared" si="116"/>
        <v>#VALUE!</v>
      </c>
      <c r="X32" s="719" t="e">
        <f t="shared" si="116"/>
        <v>#VALUE!</v>
      </c>
      <c r="Y32" s="720" t="e">
        <f t="shared" si="116"/>
        <v>#VALUE!</v>
      </c>
      <c r="Z32" s="720" t="e">
        <f t="shared" si="116"/>
        <v>#VALUE!</v>
      </c>
      <c r="AA32" s="720" t="e">
        <f t="shared" si="116"/>
        <v>#VALUE!</v>
      </c>
      <c r="AB32" s="720" t="e">
        <f t="shared" si="116"/>
        <v>#VALUE!</v>
      </c>
      <c r="AC32" s="720" t="e">
        <f t="shared" si="116"/>
        <v>#VALUE!</v>
      </c>
      <c r="AD32" s="720" t="e">
        <f t="shared" si="116"/>
        <v>#VALUE!</v>
      </c>
      <c r="AE32" s="720" t="e">
        <f t="shared" si="116"/>
        <v>#VALUE!</v>
      </c>
      <c r="AF32" s="720" t="e">
        <f t="shared" si="116"/>
        <v>#VALUE!</v>
      </c>
      <c r="AG32" s="721" t="e">
        <f t="shared" si="116"/>
        <v>#VALUE!</v>
      </c>
      <c r="AH32" s="719" t="e">
        <f t="shared" si="116"/>
        <v>#VALUE!</v>
      </c>
      <c r="AI32" s="720" t="e">
        <f t="shared" si="116"/>
        <v>#VALUE!</v>
      </c>
      <c r="AJ32" s="720" t="e">
        <f t="shared" ref="AJ32:BO32" si="117">2*12.96/(AJ9*AJ30)*AJ12</f>
        <v>#VALUE!</v>
      </c>
      <c r="AK32" s="720" t="e">
        <f t="shared" si="117"/>
        <v>#VALUE!</v>
      </c>
      <c r="AL32" s="720" t="e">
        <f t="shared" si="117"/>
        <v>#VALUE!</v>
      </c>
      <c r="AM32" s="720" t="e">
        <f t="shared" si="117"/>
        <v>#VALUE!</v>
      </c>
      <c r="AN32" s="720" t="e">
        <f t="shared" si="117"/>
        <v>#VALUE!</v>
      </c>
      <c r="AO32" s="720" t="e">
        <f t="shared" si="117"/>
        <v>#VALUE!</v>
      </c>
      <c r="AP32" s="720" t="e">
        <f t="shared" si="117"/>
        <v>#VALUE!</v>
      </c>
      <c r="AQ32" s="721" t="e">
        <f t="shared" si="117"/>
        <v>#VALUE!</v>
      </c>
      <c r="AR32" s="719" t="e">
        <f t="shared" si="117"/>
        <v>#VALUE!</v>
      </c>
      <c r="AS32" s="720" t="e">
        <f t="shared" si="117"/>
        <v>#VALUE!</v>
      </c>
      <c r="AT32" s="720" t="e">
        <f t="shared" si="117"/>
        <v>#VALUE!</v>
      </c>
      <c r="AU32" s="720" t="e">
        <f t="shared" si="117"/>
        <v>#VALUE!</v>
      </c>
      <c r="AV32" s="720" t="e">
        <f t="shared" si="117"/>
        <v>#VALUE!</v>
      </c>
      <c r="AW32" s="720" t="e">
        <f t="shared" si="117"/>
        <v>#VALUE!</v>
      </c>
      <c r="AX32" s="720" t="e">
        <f t="shared" si="117"/>
        <v>#VALUE!</v>
      </c>
      <c r="AY32" s="720" t="e">
        <f t="shared" si="117"/>
        <v>#VALUE!</v>
      </c>
      <c r="AZ32" s="720" t="e">
        <f t="shared" si="117"/>
        <v>#VALUE!</v>
      </c>
      <c r="BA32" s="721" t="e">
        <f t="shared" si="117"/>
        <v>#VALUE!</v>
      </c>
      <c r="BB32" s="719" t="e">
        <f t="shared" si="117"/>
        <v>#VALUE!</v>
      </c>
      <c r="BC32" s="720" t="e">
        <f t="shared" si="117"/>
        <v>#VALUE!</v>
      </c>
      <c r="BD32" s="720" t="e">
        <f t="shared" si="117"/>
        <v>#VALUE!</v>
      </c>
      <c r="BE32" s="720" t="e">
        <f t="shared" si="117"/>
        <v>#VALUE!</v>
      </c>
      <c r="BF32" s="720" t="e">
        <f t="shared" si="117"/>
        <v>#VALUE!</v>
      </c>
      <c r="BG32" s="720" t="e">
        <f t="shared" si="117"/>
        <v>#VALUE!</v>
      </c>
      <c r="BH32" s="720" t="e">
        <f t="shared" si="117"/>
        <v>#VALUE!</v>
      </c>
      <c r="BI32" s="720" t="e">
        <f t="shared" si="117"/>
        <v>#VALUE!</v>
      </c>
      <c r="BJ32" s="720" t="e">
        <f t="shared" si="117"/>
        <v>#VALUE!</v>
      </c>
      <c r="BK32" s="721" t="e">
        <f t="shared" si="117"/>
        <v>#VALUE!</v>
      </c>
      <c r="BL32" s="719" t="e">
        <f t="shared" si="117"/>
        <v>#VALUE!</v>
      </c>
      <c r="BM32" s="720" t="e">
        <f t="shared" si="117"/>
        <v>#VALUE!</v>
      </c>
      <c r="BN32" s="720" t="e">
        <f t="shared" si="117"/>
        <v>#VALUE!</v>
      </c>
      <c r="BO32" s="720" t="e">
        <f t="shared" si="117"/>
        <v>#VALUE!</v>
      </c>
      <c r="BP32" s="720" t="e">
        <f t="shared" ref="BP32:CE32" si="118">2*12.96/(BP9*BP30)*BP12</f>
        <v>#VALUE!</v>
      </c>
      <c r="BQ32" s="720" t="e">
        <f t="shared" si="118"/>
        <v>#VALUE!</v>
      </c>
      <c r="BR32" s="720" t="e">
        <f t="shared" si="118"/>
        <v>#VALUE!</v>
      </c>
      <c r="BS32" s="720" t="e">
        <f t="shared" si="118"/>
        <v>#VALUE!</v>
      </c>
      <c r="BT32" s="720" t="e">
        <f t="shared" si="118"/>
        <v>#VALUE!</v>
      </c>
      <c r="BU32" s="721" t="e">
        <f t="shared" si="118"/>
        <v>#VALUE!</v>
      </c>
      <c r="BV32" s="719" t="e">
        <f t="shared" si="118"/>
        <v>#VALUE!</v>
      </c>
      <c r="BW32" s="720" t="e">
        <f t="shared" si="118"/>
        <v>#VALUE!</v>
      </c>
      <c r="BX32" s="720" t="e">
        <f t="shared" si="118"/>
        <v>#VALUE!</v>
      </c>
      <c r="BY32" s="720" t="e">
        <f t="shared" si="118"/>
        <v>#VALUE!</v>
      </c>
      <c r="BZ32" s="720" t="e">
        <f t="shared" si="118"/>
        <v>#VALUE!</v>
      </c>
      <c r="CA32" s="720" t="e">
        <f t="shared" si="118"/>
        <v>#VALUE!</v>
      </c>
      <c r="CB32" s="720" t="e">
        <f t="shared" si="118"/>
        <v>#VALUE!</v>
      </c>
      <c r="CC32" s="720" t="e">
        <f t="shared" si="118"/>
        <v>#VALUE!</v>
      </c>
      <c r="CD32" s="720" t="e">
        <f t="shared" si="118"/>
        <v>#VALUE!</v>
      </c>
      <c r="CE32" s="721" t="e">
        <f t="shared" si="118"/>
        <v>#VALUE!</v>
      </c>
    </row>
    <row r="33" spans="1:156" ht="14.25" customHeight="1">
      <c r="A33" s="1194"/>
      <c r="B33" s="1195"/>
      <c r="C33" s="1195"/>
      <c r="D33" s="719" t="e">
        <f t="shared" ref="D33:AI33" si="119">D9/Fae</f>
        <v>#VALUE!</v>
      </c>
      <c r="E33" s="720" t="e">
        <f t="shared" si="119"/>
        <v>#VALUE!</v>
      </c>
      <c r="F33" s="720" t="e">
        <f t="shared" si="119"/>
        <v>#VALUE!</v>
      </c>
      <c r="G33" s="720" t="e">
        <f t="shared" si="119"/>
        <v>#VALUE!</v>
      </c>
      <c r="H33" s="720" t="e">
        <f t="shared" si="119"/>
        <v>#VALUE!</v>
      </c>
      <c r="I33" s="720" t="e">
        <f t="shared" si="119"/>
        <v>#VALUE!</v>
      </c>
      <c r="J33" s="720" t="e">
        <f t="shared" si="119"/>
        <v>#VALUE!</v>
      </c>
      <c r="K33" s="720" t="e">
        <f t="shared" si="119"/>
        <v>#VALUE!</v>
      </c>
      <c r="L33" s="720" t="e">
        <f t="shared" si="119"/>
        <v>#VALUE!</v>
      </c>
      <c r="M33" s="721" t="e">
        <f t="shared" si="119"/>
        <v>#VALUE!</v>
      </c>
      <c r="N33" s="719" t="e">
        <f t="shared" si="119"/>
        <v>#VALUE!</v>
      </c>
      <c r="O33" s="720" t="e">
        <f t="shared" si="119"/>
        <v>#VALUE!</v>
      </c>
      <c r="P33" s="720" t="e">
        <f t="shared" si="119"/>
        <v>#VALUE!</v>
      </c>
      <c r="Q33" s="720" t="e">
        <f t="shared" si="119"/>
        <v>#VALUE!</v>
      </c>
      <c r="R33" s="720" t="e">
        <f t="shared" si="119"/>
        <v>#VALUE!</v>
      </c>
      <c r="S33" s="720" t="e">
        <f t="shared" si="119"/>
        <v>#VALUE!</v>
      </c>
      <c r="T33" s="720" t="e">
        <f t="shared" si="119"/>
        <v>#VALUE!</v>
      </c>
      <c r="U33" s="720" t="e">
        <f t="shared" si="119"/>
        <v>#VALUE!</v>
      </c>
      <c r="V33" s="720" t="e">
        <f t="shared" si="119"/>
        <v>#VALUE!</v>
      </c>
      <c r="W33" s="721" t="e">
        <f t="shared" si="119"/>
        <v>#VALUE!</v>
      </c>
      <c r="X33" s="719" t="e">
        <f t="shared" si="119"/>
        <v>#VALUE!</v>
      </c>
      <c r="Y33" s="720" t="e">
        <f t="shared" si="119"/>
        <v>#VALUE!</v>
      </c>
      <c r="Z33" s="720" t="e">
        <f t="shared" si="119"/>
        <v>#VALUE!</v>
      </c>
      <c r="AA33" s="720" t="e">
        <f t="shared" si="119"/>
        <v>#VALUE!</v>
      </c>
      <c r="AB33" s="720" t="e">
        <f t="shared" si="119"/>
        <v>#VALUE!</v>
      </c>
      <c r="AC33" s="720" t="e">
        <f t="shared" si="119"/>
        <v>#VALUE!</v>
      </c>
      <c r="AD33" s="720" t="e">
        <f t="shared" si="119"/>
        <v>#VALUE!</v>
      </c>
      <c r="AE33" s="720" t="e">
        <f t="shared" si="119"/>
        <v>#VALUE!</v>
      </c>
      <c r="AF33" s="720" t="e">
        <f t="shared" si="119"/>
        <v>#VALUE!</v>
      </c>
      <c r="AG33" s="721" t="e">
        <f t="shared" si="119"/>
        <v>#VALUE!</v>
      </c>
      <c r="AH33" s="719" t="e">
        <f t="shared" si="119"/>
        <v>#VALUE!</v>
      </c>
      <c r="AI33" s="720" t="e">
        <f t="shared" si="119"/>
        <v>#VALUE!</v>
      </c>
      <c r="AJ33" s="720" t="e">
        <f t="shared" ref="AJ33:BO33" si="120">AJ9/Fae</f>
        <v>#VALUE!</v>
      </c>
      <c r="AK33" s="720" t="e">
        <f t="shared" si="120"/>
        <v>#VALUE!</v>
      </c>
      <c r="AL33" s="720" t="e">
        <f t="shared" si="120"/>
        <v>#VALUE!</v>
      </c>
      <c r="AM33" s="720" t="e">
        <f t="shared" si="120"/>
        <v>#VALUE!</v>
      </c>
      <c r="AN33" s="720" t="e">
        <f t="shared" si="120"/>
        <v>#VALUE!</v>
      </c>
      <c r="AO33" s="720" t="e">
        <f t="shared" si="120"/>
        <v>#VALUE!</v>
      </c>
      <c r="AP33" s="720" t="e">
        <f t="shared" si="120"/>
        <v>#VALUE!</v>
      </c>
      <c r="AQ33" s="721" t="e">
        <f t="shared" si="120"/>
        <v>#VALUE!</v>
      </c>
      <c r="AR33" s="719" t="e">
        <f t="shared" si="120"/>
        <v>#VALUE!</v>
      </c>
      <c r="AS33" s="720" t="e">
        <f t="shared" si="120"/>
        <v>#VALUE!</v>
      </c>
      <c r="AT33" s="720" t="e">
        <f t="shared" si="120"/>
        <v>#VALUE!</v>
      </c>
      <c r="AU33" s="720" t="e">
        <f t="shared" si="120"/>
        <v>#VALUE!</v>
      </c>
      <c r="AV33" s="720" t="e">
        <f t="shared" si="120"/>
        <v>#VALUE!</v>
      </c>
      <c r="AW33" s="720" t="e">
        <f t="shared" si="120"/>
        <v>#VALUE!</v>
      </c>
      <c r="AX33" s="720" t="e">
        <f t="shared" si="120"/>
        <v>#VALUE!</v>
      </c>
      <c r="AY33" s="720" t="e">
        <f t="shared" si="120"/>
        <v>#VALUE!</v>
      </c>
      <c r="AZ33" s="720" t="e">
        <f t="shared" si="120"/>
        <v>#VALUE!</v>
      </c>
      <c r="BA33" s="721" t="e">
        <f t="shared" si="120"/>
        <v>#VALUE!</v>
      </c>
      <c r="BB33" s="719" t="e">
        <f t="shared" si="120"/>
        <v>#VALUE!</v>
      </c>
      <c r="BC33" s="720" t="e">
        <f t="shared" si="120"/>
        <v>#VALUE!</v>
      </c>
      <c r="BD33" s="720" t="e">
        <f t="shared" si="120"/>
        <v>#VALUE!</v>
      </c>
      <c r="BE33" s="720" t="e">
        <f t="shared" si="120"/>
        <v>#VALUE!</v>
      </c>
      <c r="BF33" s="720" t="e">
        <f t="shared" si="120"/>
        <v>#VALUE!</v>
      </c>
      <c r="BG33" s="720" t="e">
        <f t="shared" si="120"/>
        <v>#VALUE!</v>
      </c>
      <c r="BH33" s="720" t="e">
        <f t="shared" si="120"/>
        <v>#VALUE!</v>
      </c>
      <c r="BI33" s="720" t="e">
        <f t="shared" si="120"/>
        <v>#VALUE!</v>
      </c>
      <c r="BJ33" s="720" t="e">
        <f t="shared" si="120"/>
        <v>#VALUE!</v>
      </c>
      <c r="BK33" s="721" t="e">
        <f t="shared" si="120"/>
        <v>#VALUE!</v>
      </c>
      <c r="BL33" s="719" t="e">
        <f t="shared" si="120"/>
        <v>#VALUE!</v>
      </c>
      <c r="BM33" s="720" t="e">
        <f t="shared" si="120"/>
        <v>#VALUE!</v>
      </c>
      <c r="BN33" s="720" t="e">
        <f t="shared" si="120"/>
        <v>#VALUE!</v>
      </c>
      <c r="BO33" s="720" t="e">
        <f t="shared" si="120"/>
        <v>#VALUE!</v>
      </c>
      <c r="BP33" s="720" t="e">
        <f t="shared" ref="BP33:CE33" si="121">BP9/Fae</f>
        <v>#VALUE!</v>
      </c>
      <c r="BQ33" s="720" t="e">
        <f t="shared" si="121"/>
        <v>#VALUE!</v>
      </c>
      <c r="BR33" s="720" t="e">
        <f t="shared" si="121"/>
        <v>#VALUE!</v>
      </c>
      <c r="BS33" s="720" t="e">
        <f t="shared" si="121"/>
        <v>#VALUE!</v>
      </c>
      <c r="BT33" s="720" t="e">
        <f t="shared" si="121"/>
        <v>#VALUE!</v>
      </c>
      <c r="BU33" s="721" t="e">
        <f t="shared" si="121"/>
        <v>#VALUE!</v>
      </c>
      <c r="BV33" s="719" t="e">
        <f t="shared" si="121"/>
        <v>#VALUE!</v>
      </c>
      <c r="BW33" s="720" t="e">
        <f t="shared" si="121"/>
        <v>#VALUE!</v>
      </c>
      <c r="BX33" s="720" t="e">
        <f t="shared" si="121"/>
        <v>#VALUE!</v>
      </c>
      <c r="BY33" s="720" t="e">
        <f t="shared" si="121"/>
        <v>#VALUE!</v>
      </c>
      <c r="BZ33" s="720" t="e">
        <f t="shared" si="121"/>
        <v>#VALUE!</v>
      </c>
      <c r="CA33" s="720" t="e">
        <f t="shared" si="121"/>
        <v>#VALUE!</v>
      </c>
      <c r="CB33" s="720" t="e">
        <f t="shared" si="121"/>
        <v>#VALUE!</v>
      </c>
      <c r="CC33" s="720" t="e">
        <f t="shared" si="121"/>
        <v>#VALUE!</v>
      </c>
      <c r="CD33" s="720" t="e">
        <f t="shared" si="121"/>
        <v>#VALUE!</v>
      </c>
      <c r="CE33" s="721" t="e">
        <f t="shared" si="121"/>
        <v>#VALUE!</v>
      </c>
    </row>
    <row r="34" spans="1:156" ht="14.25" customHeight="1">
      <c r="A34" s="1194"/>
      <c r="B34" s="1195"/>
      <c r="C34" s="1195"/>
      <c r="D34" s="719" t="e">
        <f t="shared" ref="D34" si="122">D29/D31</f>
        <v>#VALUE!</v>
      </c>
      <c r="E34" s="720" t="e">
        <f t="shared" ref="E34:AJ34" si="123">E29/E31</f>
        <v>#VALUE!</v>
      </c>
      <c r="F34" s="720" t="e">
        <f t="shared" si="123"/>
        <v>#VALUE!</v>
      </c>
      <c r="G34" s="720" t="e">
        <f t="shared" si="123"/>
        <v>#VALUE!</v>
      </c>
      <c r="H34" s="720" t="e">
        <f t="shared" si="123"/>
        <v>#VALUE!</v>
      </c>
      <c r="I34" s="720" t="e">
        <f t="shared" si="123"/>
        <v>#VALUE!</v>
      </c>
      <c r="J34" s="720" t="e">
        <f t="shared" si="123"/>
        <v>#VALUE!</v>
      </c>
      <c r="K34" s="720" t="e">
        <f t="shared" si="123"/>
        <v>#VALUE!</v>
      </c>
      <c r="L34" s="720" t="e">
        <f t="shared" si="123"/>
        <v>#VALUE!</v>
      </c>
      <c r="M34" s="721" t="e">
        <f t="shared" si="123"/>
        <v>#VALUE!</v>
      </c>
      <c r="N34" s="719" t="e">
        <f t="shared" si="123"/>
        <v>#VALUE!</v>
      </c>
      <c r="O34" s="720" t="e">
        <f t="shared" si="123"/>
        <v>#VALUE!</v>
      </c>
      <c r="P34" s="720" t="e">
        <f t="shared" si="123"/>
        <v>#VALUE!</v>
      </c>
      <c r="Q34" s="720" t="e">
        <f t="shared" si="123"/>
        <v>#VALUE!</v>
      </c>
      <c r="R34" s="720" t="e">
        <f t="shared" si="123"/>
        <v>#VALUE!</v>
      </c>
      <c r="S34" s="720" t="e">
        <f t="shared" si="123"/>
        <v>#VALUE!</v>
      </c>
      <c r="T34" s="720" t="e">
        <f t="shared" si="123"/>
        <v>#VALUE!</v>
      </c>
      <c r="U34" s="720" t="e">
        <f t="shared" si="123"/>
        <v>#VALUE!</v>
      </c>
      <c r="V34" s="720" t="e">
        <f t="shared" si="123"/>
        <v>#VALUE!</v>
      </c>
      <c r="W34" s="721" t="e">
        <f t="shared" si="123"/>
        <v>#VALUE!</v>
      </c>
      <c r="X34" s="719" t="e">
        <f t="shared" si="123"/>
        <v>#VALUE!</v>
      </c>
      <c r="Y34" s="720" t="e">
        <f t="shared" si="123"/>
        <v>#VALUE!</v>
      </c>
      <c r="Z34" s="720" t="e">
        <f t="shared" si="123"/>
        <v>#VALUE!</v>
      </c>
      <c r="AA34" s="720" t="e">
        <f t="shared" si="123"/>
        <v>#VALUE!</v>
      </c>
      <c r="AB34" s="720" t="e">
        <f t="shared" si="123"/>
        <v>#VALUE!</v>
      </c>
      <c r="AC34" s="720" t="e">
        <f t="shared" si="123"/>
        <v>#VALUE!</v>
      </c>
      <c r="AD34" s="720" t="e">
        <f t="shared" si="123"/>
        <v>#VALUE!</v>
      </c>
      <c r="AE34" s="720" t="e">
        <f t="shared" si="123"/>
        <v>#VALUE!</v>
      </c>
      <c r="AF34" s="720" t="e">
        <f t="shared" si="123"/>
        <v>#VALUE!</v>
      </c>
      <c r="AG34" s="721" t="e">
        <f t="shared" si="123"/>
        <v>#VALUE!</v>
      </c>
      <c r="AH34" s="719" t="e">
        <f t="shared" si="123"/>
        <v>#VALUE!</v>
      </c>
      <c r="AI34" s="720" t="e">
        <f t="shared" si="123"/>
        <v>#VALUE!</v>
      </c>
      <c r="AJ34" s="720" t="e">
        <f t="shared" si="123"/>
        <v>#VALUE!</v>
      </c>
      <c r="AK34" s="720" t="e">
        <f t="shared" ref="AK34:BF34" si="124">AK29/AK31</f>
        <v>#VALUE!</v>
      </c>
      <c r="AL34" s="720" t="e">
        <f t="shared" si="124"/>
        <v>#VALUE!</v>
      </c>
      <c r="AM34" s="720" t="e">
        <f t="shared" si="124"/>
        <v>#VALUE!</v>
      </c>
      <c r="AN34" s="720" t="e">
        <f t="shared" si="124"/>
        <v>#VALUE!</v>
      </c>
      <c r="AO34" s="720" t="e">
        <f t="shared" si="124"/>
        <v>#VALUE!</v>
      </c>
      <c r="AP34" s="720" t="e">
        <f t="shared" si="124"/>
        <v>#VALUE!</v>
      </c>
      <c r="AQ34" s="721" t="e">
        <f t="shared" si="124"/>
        <v>#VALUE!</v>
      </c>
      <c r="AR34" s="719" t="e">
        <f t="shared" si="124"/>
        <v>#VALUE!</v>
      </c>
      <c r="AS34" s="720" t="e">
        <f t="shared" si="124"/>
        <v>#VALUE!</v>
      </c>
      <c r="AT34" s="720" t="e">
        <f t="shared" si="124"/>
        <v>#VALUE!</v>
      </c>
      <c r="AU34" s="720" t="e">
        <f t="shared" si="124"/>
        <v>#VALUE!</v>
      </c>
      <c r="AV34" s="720" t="e">
        <f t="shared" si="124"/>
        <v>#VALUE!</v>
      </c>
      <c r="AW34" s="720" t="e">
        <f t="shared" si="124"/>
        <v>#VALUE!</v>
      </c>
      <c r="AX34" s="720" t="e">
        <f t="shared" si="124"/>
        <v>#VALUE!</v>
      </c>
      <c r="AY34" s="720" t="e">
        <f t="shared" si="124"/>
        <v>#VALUE!</v>
      </c>
      <c r="AZ34" s="720" t="e">
        <f t="shared" si="124"/>
        <v>#VALUE!</v>
      </c>
      <c r="BA34" s="721" t="e">
        <f t="shared" si="124"/>
        <v>#VALUE!</v>
      </c>
      <c r="BB34" s="719" t="e">
        <f t="shared" si="124"/>
        <v>#VALUE!</v>
      </c>
      <c r="BC34" s="720" t="e">
        <f t="shared" si="124"/>
        <v>#VALUE!</v>
      </c>
      <c r="BD34" s="720" t="e">
        <f t="shared" si="124"/>
        <v>#VALUE!</v>
      </c>
      <c r="BE34" s="720" t="e">
        <f t="shared" si="124"/>
        <v>#VALUE!</v>
      </c>
      <c r="BF34" s="720" t="e">
        <f t="shared" si="124"/>
        <v>#VALUE!</v>
      </c>
      <c r="BG34" s="720" t="e">
        <f t="shared" ref="BG34:CE34" si="125">BG29/BG31</f>
        <v>#VALUE!</v>
      </c>
      <c r="BH34" s="720" t="e">
        <f t="shared" si="125"/>
        <v>#VALUE!</v>
      </c>
      <c r="BI34" s="720" t="e">
        <f t="shared" si="125"/>
        <v>#VALUE!</v>
      </c>
      <c r="BJ34" s="720" t="e">
        <f t="shared" si="125"/>
        <v>#VALUE!</v>
      </c>
      <c r="BK34" s="721" t="e">
        <f t="shared" si="125"/>
        <v>#VALUE!</v>
      </c>
      <c r="BL34" s="719" t="e">
        <f t="shared" si="125"/>
        <v>#VALUE!</v>
      </c>
      <c r="BM34" s="720" t="e">
        <f t="shared" si="125"/>
        <v>#VALUE!</v>
      </c>
      <c r="BN34" s="720" t="e">
        <f t="shared" si="125"/>
        <v>#VALUE!</v>
      </c>
      <c r="BO34" s="720" t="e">
        <f t="shared" si="125"/>
        <v>#VALUE!</v>
      </c>
      <c r="BP34" s="720" t="e">
        <f t="shared" si="125"/>
        <v>#VALUE!</v>
      </c>
      <c r="BQ34" s="720" t="e">
        <f t="shared" si="125"/>
        <v>#VALUE!</v>
      </c>
      <c r="BR34" s="720" t="e">
        <f t="shared" si="125"/>
        <v>#VALUE!</v>
      </c>
      <c r="BS34" s="720" t="e">
        <f t="shared" si="125"/>
        <v>#VALUE!</v>
      </c>
      <c r="BT34" s="720" t="e">
        <f t="shared" si="125"/>
        <v>#VALUE!</v>
      </c>
      <c r="BU34" s="721" t="e">
        <f t="shared" si="125"/>
        <v>#VALUE!</v>
      </c>
      <c r="BV34" s="719" t="e">
        <f t="shared" si="125"/>
        <v>#VALUE!</v>
      </c>
      <c r="BW34" s="720" t="e">
        <f t="shared" si="125"/>
        <v>#VALUE!</v>
      </c>
      <c r="BX34" s="720" t="e">
        <f t="shared" si="125"/>
        <v>#VALUE!</v>
      </c>
      <c r="BY34" s="720" t="e">
        <f t="shared" si="125"/>
        <v>#VALUE!</v>
      </c>
      <c r="BZ34" s="720" t="e">
        <f t="shared" si="125"/>
        <v>#VALUE!</v>
      </c>
      <c r="CA34" s="720" t="e">
        <f t="shared" si="125"/>
        <v>#VALUE!</v>
      </c>
      <c r="CB34" s="720" t="e">
        <f t="shared" si="125"/>
        <v>#VALUE!</v>
      </c>
      <c r="CC34" s="720" t="e">
        <f t="shared" si="125"/>
        <v>#VALUE!</v>
      </c>
      <c r="CD34" s="720" t="e">
        <f t="shared" si="125"/>
        <v>#VALUE!</v>
      </c>
      <c r="CE34" s="721" t="e">
        <f t="shared" si="125"/>
        <v>#VALUE!</v>
      </c>
    </row>
    <row r="35" spans="1:156" ht="14.25" customHeight="1">
      <c r="A35" s="1194"/>
      <c r="B35" s="1195"/>
      <c r="C35" s="1195"/>
      <c r="D35" s="719" t="e">
        <f t="shared" ref="D35" si="126">1-D33</f>
        <v>#VALUE!</v>
      </c>
      <c r="E35" s="720" t="e">
        <f t="shared" ref="E35:AJ35" si="127">1-E33</f>
        <v>#VALUE!</v>
      </c>
      <c r="F35" s="720" t="e">
        <f t="shared" si="127"/>
        <v>#VALUE!</v>
      </c>
      <c r="G35" s="720" t="e">
        <f t="shared" si="127"/>
        <v>#VALUE!</v>
      </c>
      <c r="H35" s="720" t="e">
        <f t="shared" si="127"/>
        <v>#VALUE!</v>
      </c>
      <c r="I35" s="720" t="e">
        <f t="shared" si="127"/>
        <v>#VALUE!</v>
      </c>
      <c r="J35" s="720" t="e">
        <f t="shared" si="127"/>
        <v>#VALUE!</v>
      </c>
      <c r="K35" s="720" t="e">
        <f t="shared" si="127"/>
        <v>#VALUE!</v>
      </c>
      <c r="L35" s="720" t="e">
        <f t="shared" si="127"/>
        <v>#VALUE!</v>
      </c>
      <c r="M35" s="721" t="e">
        <f t="shared" si="127"/>
        <v>#VALUE!</v>
      </c>
      <c r="N35" s="719" t="e">
        <f t="shared" si="127"/>
        <v>#VALUE!</v>
      </c>
      <c r="O35" s="720" t="e">
        <f t="shared" si="127"/>
        <v>#VALUE!</v>
      </c>
      <c r="P35" s="720" t="e">
        <f t="shared" si="127"/>
        <v>#VALUE!</v>
      </c>
      <c r="Q35" s="720" t="e">
        <f t="shared" si="127"/>
        <v>#VALUE!</v>
      </c>
      <c r="R35" s="720" t="e">
        <f t="shared" si="127"/>
        <v>#VALUE!</v>
      </c>
      <c r="S35" s="720" t="e">
        <f t="shared" si="127"/>
        <v>#VALUE!</v>
      </c>
      <c r="T35" s="720" t="e">
        <f t="shared" si="127"/>
        <v>#VALUE!</v>
      </c>
      <c r="U35" s="720" t="e">
        <f t="shared" si="127"/>
        <v>#VALUE!</v>
      </c>
      <c r="V35" s="720" t="e">
        <f t="shared" si="127"/>
        <v>#VALUE!</v>
      </c>
      <c r="W35" s="721" t="e">
        <f t="shared" si="127"/>
        <v>#VALUE!</v>
      </c>
      <c r="X35" s="719" t="e">
        <f t="shared" si="127"/>
        <v>#VALUE!</v>
      </c>
      <c r="Y35" s="720" t="e">
        <f t="shared" si="127"/>
        <v>#VALUE!</v>
      </c>
      <c r="Z35" s="720" t="e">
        <f t="shared" si="127"/>
        <v>#VALUE!</v>
      </c>
      <c r="AA35" s="720" t="e">
        <f t="shared" si="127"/>
        <v>#VALUE!</v>
      </c>
      <c r="AB35" s="720" t="e">
        <f t="shared" si="127"/>
        <v>#VALUE!</v>
      </c>
      <c r="AC35" s="720" t="e">
        <f t="shared" si="127"/>
        <v>#VALUE!</v>
      </c>
      <c r="AD35" s="720" t="e">
        <f t="shared" si="127"/>
        <v>#VALUE!</v>
      </c>
      <c r="AE35" s="720" t="e">
        <f t="shared" si="127"/>
        <v>#VALUE!</v>
      </c>
      <c r="AF35" s="720" t="e">
        <f t="shared" si="127"/>
        <v>#VALUE!</v>
      </c>
      <c r="AG35" s="721" t="e">
        <f t="shared" si="127"/>
        <v>#VALUE!</v>
      </c>
      <c r="AH35" s="719" t="e">
        <f t="shared" si="127"/>
        <v>#VALUE!</v>
      </c>
      <c r="AI35" s="720" t="e">
        <f t="shared" si="127"/>
        <v>#VALUE!</v>
      </c>
      <c r="AJ35" s="720" t="e">
        <f t="shared" si="127"/>
        <v>#VALUE!</v>
      </c>
      <c r="AK35" s="720" t="e">
        <f t="shared" ref="AK35:BF35" si="128">1-AK33</f>
        <v>#VALUE!</v>
      </c>
      <c r="AL35" s="720" t="e">
        <f t="shared" si="128"/>
        <v>#VALUE!</v>
      </c>
      <c r="AM35" s="720" t="e">
        <f t="shared" si="128"/>
        <v>#VALUE!</v>
      </c>
      <c r="AN35" s="720" t="e">
        <f t="shared" si="128"/>
        <v>#VALUE!</v>
      </c>
      <c r="AO35" s="720" t="e">
        <f t="shared" si="128"/>
        <v>#VALUE!</v>
      </c>
      <c r="AP35" s="720" t="e">
        <f t="shared" si="128"/>
        <v>#VALUE!</v>
      </c>
      <c r="AQ35" s="721" t="e">
        <f t="shared" si="128"/>
        <v>#VALUE!</v>
      </c>
      <c r="AR35" s="719" t="e">
        <f t="shared" si="128"/>
        <v>#VALUE!</v>
      </c>
      <c r="AS35" s="720" t="e">
        <f t="shared" si="128"/>
        <v>#VALUE!</v>
      </c>
      <c r="AT35" s="720" t="e">
        <f t="shared" si="128"/>
        <v>#VALUE!</v>
      </c>
      <c r="AU35" s="720" t="e">
        <f t="shared" si="128"/>
        <v>#VALUE!</v>
      </c>
      <c r="AV35" s="720" t="e">
        <f t="shared" si="128"/>
        <v>#VALUE!</v>
      </c>
      <c r="AW35" s="720" t="e">
        <f t="shared" si="128"/>
        <v>#VALUE!</v>
      </c>
      <c r="AX35" s="720" t="e">
        <f t="shared" si="128"/>
        <v>#VALUE!</v>
      </c>
      <c r="AY35" s="720" t="e">
        <f t="shared" si="128"/>
        <v>#VALUE!</v>
      </c>
      <c r="AZ35" s="720" t="e">
        <f t="shared" si="128"/>
        <v>#VALUE!</v>
      </c>
      <c r="BA35" s="721" t="e">
        <f t="shared" si="128"/>
        <v>#VALUE!</v>
      </c>
      <c r="BB35" s="719" t="e">
        <f t="shared" si="128"/>
        <v>#VALUE!</v>
      </c>
      <c r="BC35" s="720" t="e">
        <f t="shared" si="128"/>
        <v>#VALUE!</v>
      </c>
      <c r="BD35" s="720" t="e">
        <f t="shared" si="128"/>
        <v>#VALUE!</v>
      </c>
      <c r="BE35" s="720" t="e">
        <f t="shared" si="128"/>
        <v>#VALUE!</v>
      </c>
      <c r="BF35" s="720" t="e">
        <f t="shared" si="128"/>
        <v>#VALUE!</v>
      </c>
      <c r="BG35" s="720" t="e">
        <f t="shared" ref="BG35:CE35" si="129">1-BG33</f>
        <v>#VALUE!</v>
      </c>
      <c r="BH35" s="720" t="e">
        <f t="shared" si="129"/>
        <v>#VALUE!</v>
      </c>
      <c r="BI35" s="720" t="e">
        <f t="shared" si="129"/>
        <v>#VALUE!</v>
      </c>
      <c r="BJ35" s="720" t="e">
        <f t="shared" si="129"/>
        <v>#VALUE!</v>
      </c>
      <c r="BK35" s="721" t="e">
        <f t="shared" si="129"/>
        <v>#VALUE!</v>
      </c>
      <c r="BL35" s="719" t="e">
        <f t="shared" si="129"/>
        <v>#VALUE!</v>
      </c>
      <c r="BM35" s="720" t="e">
        <f t="shared" si="129"/>
        <v>#VALUE!</v>
      </c>
      <c r="BN35" s="720" t="e">
        <f t="shared" si="129"/>
        <v>#VALUE!</v>
      </c>
      <c r="BO35" s="720" t="e">
        <f t="shared" si="129"/>
        <v>#VALUE!</v>
      </c>
      <c r="BP35" s="720" t="e">
        <f t="shared" si="129"/>
        <v>#VALUE!</v>
      </c>
      <c r="BQ35" s="720" t="e">
        <f t="shared" si="129"/>
        <v>#VALUE!</v>
      </c>
      <c r="BR35" s="720" t="e">
        <f t="shared" si="129"/>
        <v>#VALUE!</v>
      </c>
      <c r="BS35" s="720" t="e">
        <f t="shared" si="129"/>
        <v>#VALUE!</v>
      </c>
      <c r="BT35" s="720" t="e">
        <f t="shared" si="129"/>
        <v>#VALUE!</v>
      </c>
      <c r="BU35" s="721" t="e">
        <f t="shared" si="129"/>
        <v>#VALUE!</v>
      </c>
      <c r="BV35" s="719" t="e">
        <f t="shared" si="129"/>
        <v>#VALUE!</v>
      </c>
      <c r="BW35" s="720" t="e">
        <f t="shared" si="129"/>
        <v>#VALUE!</v>
      </c>
      <c r="BX35" s="720" t="e">
        <f t="shared" si="129"/>
        <v>#VALUE!</v>
      </c>
      <c r="BY35" s="720" t="e">
        <f t="shared" si="129"/>
        <v>#VALUE!</v>
      </c>
      <c r="BZ35" s="720" t="e">
        <f t="shared" si="129"/>
        <v>#VALUE!</v>
      </c>
      <c r="CA35" s="720" t="e">
        <f t="shared" si="129"/>
        <v>#VALUE!</v>
      </c>
      <c r="CB35" s="720" t="e">
        <f t="shared" si="129"/>
        <v>#VALUE!</v>
      </c>
      <c r="CC35" s="720" t="e">
        <f t="shared" si="129"/>
        <v>#VALUE!</v>
      </c>
      <c r="CD35" s="720" t="e">
        <f t="shared" si="129"/>
        <v>#VALUE!</v>
      </c>
      <c r="CE35" s="721" t="e">
        <f t="shared" si="129"/>
        <v>#VALUE!</v>
      </c>
    </row>
    <row r="36" spans="1:156" ht="14.25" customHeight="1">
      <c r="A36" s="1194"/>
      <c r="B36" s="1195"/>
      <c r="C36" s="1195"/>
      <c r="D36" s="719" t="e">
        <f t="shared" ref="D36:AI36" si="130">D13*D33^2</f>
        <v>#VALUE!</v>
      </c>
      <c r="E36" s="720" t="e">
        <f t="shared" si="130"/>
        <v>#VALUE!</v>
      </c>
      <c r="F36" s="720" t="e">
        <f t="shared" si="130"/>
        <v>#VALUE!</v>
      </c>
      <c r="G36" s="720" t="e">
        <f t="shared" si="130"/>
        <v>#VALUE!</v>
      </c>
      <c r="H36" s="720" t="e">
        <f t="shared" si="130"/>
        <v>#VALUE!</v>
      </c>
      <c r="I36" s="720" t="e">
        <f t="shared" si="130"/>
        <v>#VALUE!</v>
      </c>
      <c r="J36" s="720" t="e">
        <f t="shared" si="130"/>
        <v>#VALUE!</v>
      </c>
      <c r="K36" s="720" t="e">
        <f t="shared" si="130"/>
        <v>#VALUE!</v>
      </c>
      <c r="L36" s="720" t="e">
        <f t="shared" si="130"/>
        <v>#VALUE!</v>
      </c>
      <c r="M36" s="721" t="e">
        <f t="shared" si="130"/>
        <v>#VALUE!</v>
      </c>
      <c r="N36" s="719" t="e">
        <f t="shared" si="130"/>
        <v>#VALUE!</v>
      </c>
      <c r="O36" s="720" t="e">
        <f t="shared" si="130"/>
        <v>#VALUE!</v>
      </c>
      <c r="P36" s="720" t="e">
        <f t="shared" si="130"/>
        <v>#VALUE!</v>
      </c>
      <c r="Q36" s="720" t="e">
        <f t="shared" si="130"/>
        <v>#VALUE!</v>
      </c>
      <c r="R36" s="720" t="e">
        <f t="shared" si="130"/>
        <v>#VALUE!</v>
      </c>
      <c r="S36" s="720" t="e">
        <f t="shared" si="130"/>
        <v>#VALUE!</v>
      </c>
      <c r="T36" s="720" t="e">
        <f t="shared" si="130"/>
        <v>#VALUE!</v>
      </c>
      <c r="U36" s="720" t="e">
        <f t="shared" si="130"/>
        <v>#VALUE!</v>
      </c>
      <c r="V36" s="720" t="e">
        <f t="shared" si="130"/>
        <v>#VALUE!</v>
      </c>
      <c r="W36" s="721" t="e">
        <f t="shared" si="130"/>
        <v>#VALUE!</v>
      </c>
      <c r="X36" s="719" t="e">
        <f t="shared" si="130"/>
        <v>#VALUE!</v>
      </c>
      <c r="Y36" s="720" t="e">
        <f t="shared" si="130"/>
        <v>#VALUE!</v>
      </c>
      <c r="Z36" s="720" t="e">
        <f t="shared" si="130"/>
        <v>#VALUE!</v>
      </c>
      <c r="AA36" s="720" t="e">
        <f t="shared" si="130"/>
        <v>#VALUE!</v>
      </c>
      <c r="AB36" s="720" t="e">
        <f t="shared" si="130"/>
        <v>#VALUE!</v>
      </c>
      <c r="AC36" s="720" t="e">
        <f t="shared" si="130"/>
        <v>#VALUE!</v>
      </c>
      <c r="AD36" s="720" t="e">
        <f t="shared" si="130"/>
        <v>#VALUE!</v>
      </c>
      <c r="AE36" s="720" t="e">
        <f t="shared" si="130"/>
        <v>#VALUE!</v>
      </c>
      <c r="AF36" s="720" t="e">
        <f t="shared" si="130"/>
        <v>#VALUE!</v>
      </c>
      <c r="AG36" s="721" t="e">
        <f t="shared" si="130"/>
        <v>#VALUE!</v>
      </c>
      <c r="AH36" s="719" t="e">
        <f t="shared" si="130"/>
        <v>#VALUE!</v>
      </c>
      <c r="AI36" s="720" t="e">
        <f t="shared" si="130"/>
        <v>#VALUE!</v>
      </c>
      <c r="AJ36" s="720" t="e">
        <f t="shared" ref="AJ36:BO36" si="131">AJ13*AJ33^2</f>
        <v>#VALUE!</v>
      </c>
      <c r="AK36" s="720" t="e">
        <f t="shared" si="131"/>
        <v>#VALUE!</v>
      </c>
      <c r="AL36" s="720" t="e">
        <f t="shared" si="131"/>
        <v>#VALUE!</v>
      </c>
      <c r="AM36" s="720" t="e">
        <f t="shared" si="131"/>
        <v>#VALUE!</v>
      </c>
      <c r="AN36" s="720" t="e">
        <f t="shared" si="131"/>
        <v>#VALUE!</v>
      </c>
      <c r="AO36" s="720" t="e">
        <f t="shared" si="131"/>
        <v>#VALUE!</v>
      </c>
      <c r="AP36" s="720" t="e">
        <f t="shared" si="131"/>
        <v>#VALUE!</v>
      </c>
      <c r="AQ36" s="721" t="e">
        <f t="shared" si="131"/>
        <v>#VALUE!</v>
      </c>
      <c r="AR36" s="719" t="e">
        <f t="shared" si="131"/>
        <v>#VALUE!</v>
      </c>
      <c r="AS36" s="720" t="e">
        <f t="shared" si="131"/>
        <v>#VALUE!</v>
      </c>
      <c r="AT36" s="720" t="e">
        <f t="shared" si="131"/>
        <v>#VALUE!</v>
      </c>
      <c r="AU36" s="720" t="e">
        <f t="shared" si="131"/>
        <v>#VALUE!</v>
      </c>
      <c r="AV36" s="720" t="e">
        <f t="shared" si="131"/>
        <v>#VALUE!</v>
      </c>
      <c r="AW36" s="720" t="e">
        <f t="shared" si="131"/>
        <v>#VALUE!</v>
      </c>
      <c r="AX36" s="720" t="e">
        <f t="shared" si="131"/>
        <v>#VALUE!</v>
      </c>
      <c r="AY36" s="720" t="e">
        <f t="shared" si="131"/>
        <v>#VALUE!</v>
      </c>
      <c r="AZ36" s="720" t="e">
        <f t="shared" si="131"/>
        <v>#VALUE!</v>
      </c>
      <c r="BA36" s="721" t="e">
        <f t="shared" si="131"/>
        <v>#VALUE!</v>
      </c>
      <c r="BB36" s="719" t="e">
        <f t="shared" si="131"/>
        <v>#VALUE!</v>
      </c>
      <c r="BC36" s="720" t="e">
        <f t="shared" si="131"/>
        <v>#VALUE!</v>
      </c>
      <c r="BD36" s="720" t="e">
        <f t="shared" si="131"/>
        <v>#VALUE!</v>
      </c>
      <c r="BE36" s="720" t="e">
        <f t="shared" si="131"/>
        <v>#VALUE!</v>
      </c>
      <c r="BF36" s="720" t="e">
        <f t="shared" si="131"/>
        <v>#VALUE!</v>
      </c>
      <c r="BG36" s="720" t="e">
        <f t="shared" si="131"/>
        <v>#VALUE!</v>
      </c>
      <c r="BH36" s="720" t="e">
        <f t="shared" si="131"/>
        <v>#VALUE!</v>
      </c>
      <c r="BI36" s="720" t="e">
        <f t="shared" si="131"/>
        <v>#VALUE!</v>
      </c>
      <c r="BJ36" s="720" t="e">
        <f t="shared" si="131"/>
        <v>#VALUE!</v>
      </c>
      <c r="BK36" s="721" t="e">
        <f t="shared" si="131"/>
        <v>#VALUE!</v>
      </c>
      <c r="BL36" s="719" t="e">
        <f t="shared" si="131"/>
        <v>#VALUE!</v>
      </c>
      <c r="BM36" s="720" t="e">
        <f t="shared" si="131"/>
        <v>#VALUE!</v>
      </c>
      <c r="BN36" s="720" t="e">
        <f t="shared" si="131"/>
        <v>#VALUE!</v>
      </c>
      <c r="BO36" s="720" t="e">
        <f t="shared" si="131"/>
        <v>#VALUE!</v>
      </c>
      <c r="BP36" s="720" t="e">
        <f t="shared" ref="BP36:CE36" si="132">BP13*BP33^2</f>
        <v>#VALUE!</v>
      </c>
      <c r="BQ36" s="720" t="e">
        <f t="shared" si="132"/>
        <v>#VALUE!</v>
      </c>
      <c r="BR36" s="720" t="e">
        <f t="shared" si="132"/>
        <v>#VALUE!</v>
      </c>
      <c r="BS36" s="720" t="e">
        <f t="shared" si="132"/>
        <v>#VALUE!</v>
      </c>
      <c r="BT36" s="720" t="e">
        <f t="shared" si="132"/>
        <v>#VALUE!</v>
      </c>
      <c r="BU36" s="721" t="e">
        <f t="shared" si="132"/>
        <v>#VALUE!</v>
      </c>
      <c r="BV36" s="719" t="e">
        <f t="shared" si="132"/>
        <v>#VALUE!</v>
      </c>
      <c r="BW36" s="720" t="e">
        <f t="shared" si="132"/>
        <v>#VALUE!</v>
      </c>
      <c r="BX36" s="720" t="e">
        <f t="shared" si="132"/>
        <v>#VALUE!</v>
      </c>
      <c r="BY36" s="720" t="e">
        <f t="shared" si="132"/>
        <v>#VALUE!</v>
      </c>
      <c r="BZ36" s="720" t="e">
        <f t="shared" si="132"/>
        <v>#VALUE!</v>
      </c>
      <c r="CA36" s="720" t="e">
        <f t="shared" si="132"/>
        <v>#VALUE!</v>
      </c>
      <c r="CB36" s="720" t="e">
        <f t="shared" si="132"/>
        <v>#VALUE!</v>
      </c>
      <c r="CC36" s="720" t="e">
        <f t="shared" si="132"/>
        <v>#VALUE!</v>
      </c>
      <c r="CD36" s="720" t="e">
        <f t="shared" si="132"/>
        <v>#VALUE!</v>
      </c>
      <c r="CE36" s="721" t="e">
        <f t="shared" si="132"/>
        <v>#VALUE!</v>
      </c>
    </row>
    <row r="37" spans="1:156" ht="14.25" customHeight="1">
      <c r="A37" s="1194"/>
      <c r="B37" s="1195"/>
      <c r="C37" s="1195"/>
      <c r="D37" s="719" t="e">
        <f t="shared" ref="D37:AI37" si="133">4*D9/D10</f>
        <v>#VALUE!</v>
      </c>
      <c r="E37" s="720" t="e">
        <f t="shared" si="133"/>
        <v>#VALUE!</v>
      </c>
      <c r="F37" s="720" t="e">
        <f t="shared" si="133"/>
        <v>#VALUE!</v>
      </c>
      <c r="G37" s="720" t="e">
        <f t="shared" si="133"/>
        <v>#VALUE!</v>
      </c>
      <c r="H37" s="720" t="e">
        <f t="shared" si="133"/>
        <v>#VALUE!</v>
      </c>
      <c r="I37" s="720" t="e">
        <f t="shared" si="133"/>
        <v>#VALUE!</v>
      </c>
      <c r="J37" s="720" t="e">
        <f t="shared" si="133"/>
        <v>#VALUE!</v>
      </c>
      <c r="K37" s="720" t="e">
        <f t="shared" si="133"/>
        <v>#VALUE!</v>
      </c>
      <c r="L37" s="720" t="e">
        <f t="shared" si="133"/>
        <v>#VALUE!</v>
      </c>
      <c r="M37" s="721" t="e">
        <f t="shared" si="133"/>
        <v>#VALUE!</v>
      </c>
      <c r="N37" s="719" t="e">
        <f t="shared" si="133"/>
        <v>#VALUE!</v>
      </c>
      <c r="O37" s="720" t="e">
        <f t="shared" si="133"/>
        <v>#VALUE!</v>
      </c>
      <c r="P37" s="720" t="e">
        <f t="shared" si="133"/>
        <v>#VALUE!</v>
      </c>
      <c r="Q37" s="720" t="e">
        <f t="shared" si="133"/>
        <v>#VALUE!</v>
      </c>
      <c r="R37" s="720" t="e">
        <f t="shared" si="133"/>
        <v>#VALUE!</v>
      </c>
      <c r="S37" s="720" t="e">
        <f t="shared" si="133"/>
        <v>#VALUE!</v>
      </c>
      <c r="T37" s="720" t="e">
        <f t="shared" si="133"/>
        <v>#VALUE!</v>
      </c>
      <c r="U37" s="720" t="e">
        <f t="shared" si="133"/>
        <v>#VALUE!</v>
      </c>
      <c r="V37" s="720" t="e">
        <f t="shared" si="133"/>
        <v>#VALUE!</v>
      </c>
      <c r="W37" s="721" t="e">
        <f t="shared" si="133"/>
        <v>#VALUE!</v>
      </c>
      <c r="X37" s="719" t="e">
        <f t="shared" si="133"/>
        <v>#VALUE!</v>
      </c>
      <c r="Y37" s="720" t="e">
        <f t="shared" si="133"/>
        <v>#VALUE!</v>
      </c>
      <c r="Z37" s="720" t="e">
        <f t="shared" si="133"/>
        <v>#VALUE!</v>
      </c>
      <c r="AA37" s="720" t="e">
        <f t="shared" si="133"/>
        <v>#VALUE!</v>
      </c>
      <c r="AB37" s="720" t="e">
        <f t="shared" si="133"/>
        <v>#VALUE!</v>
      </c>
      <c r="AC37" s="720" t="e">
        <f t="shared" si="133"/>
        <v>#VALUE!</v>
      </c>
      <c r="AD37" s="720" t="e">
        <f t="shared" si="133"/>
        <v>#VALUE!</v>
      </c>
      <c r="AE37" s="720" t="e">
        <f t="shared" si="133"/>
        <v>#VALUE!</v>
      </c>
      <c r="AF37" s="720" t="e">
        <f t="shared" si="133"/>
        <v>#VALUE!</v>
      </c>
      <c r="AG37" s="721" t="e">
        <f t="shared" si="133"/>
        <v>#VALUE!</v>
      </c>
      <c r="AH37" s="719" t="e">
        <f t="shared" si="133"/>
        <v>#VALUE!</v>
      </c>
      <c r="AI37" s="720" t="e">
        <f t="shared" si="133"/>
        <v>#VALUE!</v>
      </c>
      <c r="AJ37" s="720" t="e">
        <f t="shared" ref="AJ37:BO37" si="134">4*AJ9/AJ10</f>
        <v>#VALUE!</v>
      </c>
      <c r="AK37" s="720" t="e">
        <f t="shared" si="134"/>
        <v>#VALUE!</v>
      </c>
      <c r="AL37" s="720" t="e">
        <f t="shared" si="134"/>
        <v>#VALUE!</v>
      </c>
      <c r="AM37" s="720" t="e">
        <f t="shared" si="134"/>
        <v>#VALUE!</v>
      </c>
      <c r="AN37" s="720" t="e">
        <f t="shared" si="134"/>
        <v>#VALUE!</v>
      </c>
      <c r="AO37" s="720" t="e">
        <f t="shared" si="134"/>
        <v>#VALUE!</v>
      </c>
      <c r="AP37" s="720" t="e">
        <f t="shared" si="134"/>
        <v>#VALUE!</v>
      </c>
      <c r="AQ37" s="721" t="e">
        <f t="shared" si="134"/>
        <v>#VALUE!</v>
      </c>
      <c r="AR37" s="719" t="e">
        <f t="shared" si="134"/>
        <v>#VALUE!</v>
      </c>
      <c r="AS37" s="720" t="e">
        <f t="shared" si="134"/>
        <v>#VALUE!</v>
      </c>
      <c r="AT37" s="720" t="e">
        <f t="shared" si="134"/>
        <v>#VALUE!</v>
      </c>
      <c r="AU37" s="720" t="e">
        <f t="shared" si="134"/>
        <v>#VALUE!</v>
      </c>
      <c r="AV37" s="720" t="e">
        <f t="shared" si="134"/>
        <v>#VALUE!</v>
      </c>
      <c r="AW37" s="720" t="e">
        <f t="shared" si="134"/>
        <v>#VALUE!</v>
      </c>
      <c r="AX37" s="720" t="e">
        <f t="shared" si="134"/>
        <v>#VALUE!</v>
      </c>
      <c r="AY37" s="720" t="e">
        <f t="shared" si="134"/>
        <v>#VALUE!</v>
      </c>
      <c r="AZ37" s="720" t="e">
        <f t="shared" si="134"/>
        <v>#VALUE!</v>
      </c>
      <c r="BA37" s="721" t="e">
        <f t="shared" si="134"/>
        <v>#VALUE!</v>
      </c>
      <c r="BB37" s="719" t="e">
        <f t="shared" si="134"/>
        <v>#VALUE!</v>
      </c>
      <c r="BC37" s="720" t="e">
        <f t="shared" si="134"/>
        <v>#VALUE!</v>
      </c>
      <c r="BD37" s="720" t="e">
        <f t="shared" si="134"/>
        <v>#VALUE!</v>
      </c>
      <c r="BE37" s="720" t="e">
        <f t="shared" si="134"/>
        <v>#VALUE!</v>
      </c>
      <c r="BF37" s="720" t="e">
        <f t="shared" si="134"/>
        <v>#VALUE!</v>
      </c>
      <c r="BG37" s="720" t="e">
        <f t="shared" si="134"/>
        <v>#VALUE!</v>
      </c>
      <c r="BH37" s="720" t="e">
        <f t="shared" si="134"/>
        <v>#VALUE!</v>
      </c>
      <c r="BI37" s="720" t="e">
        <f t="shared" si="134"/>
        <v>#VALUE!</v>
      </c>
      <c r="BJ37" s="720" t="e">
        <f t="shared" si="134"/>
        <v>#VALUE!</v>
      </c>
      <c r="BK37" s="721" t="e">
        <f t="shared" si="134"/>
        <v>#VALUE!</v>
      </c>
      <c r="BL37" s="719" t="e">
        <f t="shared" si="134"/>
        <v>#VALUE!</v>
      </c>
      <c r="BM37" s="720" t="e">
        <f t="shared" si="134"/>
        <v>#VALUE!</v>
      </c>
      <c r="BN37" s="720" t="e">
        <f t="shared" si="134"/>
        <v>#VALUE!</v>
      </c>
      <c r="BO37" s="720" t="e">
        <f t="shared" si="134"/>
        <v>#VALUE!</v>
      </c>
      <c r="BP37" s="720" t="e">
        <f t="shared" ref="BP37:CE37" si="135">4*BP9/BP10</f>
        <v>#VALUE!</v>
      </c>
      <c r="BQ37" s="720" t="e">
        <f t="shared" si="135"/>
        <v>#VALUE!</v>
      </c>
      <c r="BR37" s="720" t="e">
        <f t="shared" si="135"/>
        <v>#VALUE!</v>
      </c>
      <c r="BS37" s="720" t="e">
        <f t="shared" si="135"/>
        <v>#VALUE!</v>
      </c>
      <c r="BT37" s="720" t="e">
        <f t="shared" si="135"/>
        <v>#VALUE!</v>
      </c>
      <c r="BU37" s="721" t="e">
        <f t="shared" si="135"/>
        <v>#VALUE!</v>
      </c>
      <c r="BV37" s="719" t="e">
        <f t="shared" si="135"/>
        <v>#VALUE!</v>
      </c>
      <c r="BW37" s="720" t="e">
        <f t="shared" si="135"/>
        <v>#VALUE!</v>
      </c>
      <c r="BX37" s="720" t="e">
        <f t="shared" si="135"/>
        <v>#VALUE!</v>
      </c>
      <c r="BY37" s="720" t="e">
        <f t="shared" si="135"/>
        <v>#VALUE!</v>
      </c>
      <c r="BZ37" s="720" t="e">
        <f t="shared" si="135"/>
        <v>#VALUE!</v>
      </c>
      <c r="CA37" s="720" t="e">
        <f t="shared" si="135"/>
        <v>#VALUE!</v>
      </c>
      <c r="CB37" s="720" t="e">
        <f t="shared" si="135"/>
        <v>#VALUE!</v>
      </c>
      <c r="CC37" s="720" t="e">
        <f t="shared" si="135"/>
        <v>#VALUE!</v>
      </c>
      <c r="CD37" s="720" t="e">
        <f t="shared" si="135"/>
        <v>#VALUE!</v>
      </c>
      <c r="CE37" s="721" t="e">
        <f t="shared" si="135"/>
        <v>#VALUE!</v>
      </c>
    </row>
    <row r="38" spans="1:156" ht="14.25" customHeight="1">
      <c r="A38" s="1194"/>
      <c r="B38" s="1195"/>
      <c r="C38" s="1195"/>
      <c r="D38" s="719" t="e">
        <f t="shared" ref="D38:AI38" si="136">D33*(1+D36)+D32+D8*D11/D37*D33/D35</f>
        <v>#VALUE!</v>
      </c>
      <c r="E38" s="720" t="e">
        <f t="shared" si="136"/>
        <v>#VALUE!</v>
      </c>
      <c r="F38" s="720" t="e">
        <f t="shared" si="136"/>
        <v>#VALUE!</v>
      </c>
      <c r="G38" s="720" t="e">
        <f t="shared" si="136"/>
        <v>#VALUE!</v>
      </c>
      <c r="H38" s="720" t="e">
        <f t="shared" si="136"/>
        <v>#VALUE!</v>
      </c>
      <c r="I38" s="720" t="e">
        <f t="shared" si="136"/>
        <v>#VALUE!</v>
      </c>
      <c r="J38" s="720" t="e">
        <f t="shared" si="136"/>
        <v>#VALUE!</v>
      </c>
      <c r="K38" s="720" t="e">
        <f t="shared" si="136"/>
        <v>#VALUE!</v>
      </c>
      <c r="L38" s="720" t="e">
        <f t="shared" si="136"/>
        <v>#VALUE!</v>
      </c>
      <c r="M38" s="721" t="e">
        <f t="shared" si="136"/>
        <v>#VALUE!</v>
      </c>
      <c r="N38" s="719" t="e">
        <f t="shared" si="136"/>
        <v>#VALUE!</v>
      </c>
      <c r="O38" s="720" t="e">
        <f t="shared" si="136"/>
        <v>#VALUE!</v>
      </c>
      <c r="P38" s="720" t="e">
        <f t="shared" si="136"/>
        <v>#VALUE!</v>
      </c>
      <c r="Q38" s="720" t="e">
        <f t="shared" si="136"/>
        <v>#VALUE!</v>
      </c>
      <c r="R38" s="720" t="e">
        <f t="shared" si="136"/>
        <v>#VALUE!</v>
      </c>
      <c r="S38" s="720" t="e">
        <f t="shared" si="136"/>
        <v>#VALUE!</v>
      </c>
      <c r="T38" s="720" t="e">
        <f t="shared" si="136"/>
        <v>#VALUE!</v>
      </c>
      <c r="U38" s="720" t="e">
        <f t="shared" si="136"/>
        <v>#VALUE!</v>
      </c>
      <c r="V38" s="720" t="e">
        <f t="shared" si="136"/>
        <v>#VALUE!</v>
      </c>
      <c r="W38" s="721" t="e">
        <f t="shared" si="136"/>
        <v>#VALUE!</v>
      </c>
      <c r="X38" s="719" t="e">
        <f t="shared" si="136"/>
        <v>#VALUE!</v>
      </c>
      <c r="Y38" s="720" t="e">
        <f t="shared" si="136"/>
        <v>#VALUE!</v>
      </c>
      <c r="Z38" s="720" t="e">
        <f t="shared" si="136"/>
        <v>#VALUE!</v>
      </c>
      <c r="AA38" s="720" t="e">
        <f t="shared" si="136"/>
        <v>#VALUE!</v>
      </c>
      <c r="AB38" s="720" t="e">
        <f t="shared" si="136"/>
        <v>#VALUE!</v>
      </c>
      <c r="AC38" s="720" t="e">
        <f t="shared" si="136"/>
        <v>#VALUE!</v>
      </c>
      <c r="AD38" s="720" t="e">
        <f t="shared" si="136"/>
        <v>#VALUE!</v>
      </c>
      <c r="AE38" s="720" t="e">
        <f t="shared" si="136"/>
        <v>#VALUE!</v>
      </c>
      <c r="AF38" s="720" t="e">
        <f t="shared" si="136"/>
        <v>#VALUE!</v>
      </c>
      <c r="AG38" s="721" t="e">
        <f t="shared" si="136"/>
        <v>#VALUE!</v>
      </c>
      <c r="AH38" s="719" t="e">
        <f t="shared" si="136"/>
        <v>#VALUE!</v>
      </c>
      <c r="AI38" s="720" t="e">
        <f t="shared" si="136"/>
        <v>#VALUE!</v>
      </c>
      <c r="AJ38" s="720" t="e">
        <f t="shared" ref="AJ38:BO38" si="137">AJ33*(1+AJ36)+AJ32+AJ8*AJ11/AJ37*AJ33/AJ35</f>
        <v>#VALUE!</v>
      </c>
      <c r="AK38" s="720" t="e">
        <f t="shared" si="137"/>
        <v>#VALUE!</v>
      </c>
      <c r="AL38" s="720" t="e">
        <f t="shared" si="137"/>
        <v>#VALUE!</v>
      </c>
      <c r="AM38" s="720" t="e">
        <f t="shared" si="137"/>
        <v>#VALUE!</v>
      </c>
      <c r="AN38" s="720" t="e">
        <f t="shared" si="137"/>
        <v>#VALUE!</v>
      </c>
      <c r="AO38" s="720" t="e">
        <f t="shared" si="137"/>
        <v>#VALUE!</v>
      </c>
      <c r="AP38" s="720" t="e">
        <f t="shared" si="137"/>
        <v>#VALUE!</v>
      </c>
      <c r="AQ38" s="721" t="e">
        <f t="shared" si="137"/>
        <v>#VALUE!</v>
      </c>
      <c r="AR38" s="719" t="e">
        <f t="shared" si="137"/>
        <v>#VALUE!</v>
      </c>
      <c r="AS38" s="720" t="e">
        <f t="shared" si="137"/>
        <v>#VALUE!</v>
      </c>
      <c r="AT38" s="720" t="e">
        <f t="shared" si="137"/>
        <v>#VALUE!</v>
      </c>
      <c r="AU38" s="720" t="e">
        <f t="shared" si="137"/>
        <v>#VALUE!</v>
      </c>
      <c r="AV38" s="720" t="e">
        <f t="shared" si="137"/>
        <v>#VALUE!</v>
      </c>
      <c r="AW38" s="720" t="e">
        <f t="shared" si="137"/>
        <v>#VALUE!</v>
      </c>
      <c r="AX38" s="720" t="e">
        <f t="shared" si="137"/>
        <v>#VALUE!</v>
      </c>
      <c r="AY38" s="720" t="e">
        <f t="shared" si="137"/>
        <v>#VALUE!</v>
      </c>
      <c r="AZ38" s="720" t="e">
        <f t="shared" si="137"/>
        <v>#VALUE!</v>
      </c>
      <c r="BA38" s="721" t="e">
        <f t="shared" si="137"/>
        <v>#VALUE!</v>
      </c>
      <c r="BB38" s="719" t="e">
        <f t="shared" si="137"/>
        <v>#VALUE!</v>
      </c>
      <c r="BC38" s="720" t="e">
        <f t="shared" si="137"/>
        <v>#VALUE!</v>
      </c>
      <c r="BD38" s="720" t="e">
        <f t="shared" si="137"/>
        <v>#VALUE!</v>
      </c>
      <c r="BE38" s="720" t="e">
        <f t="shared" si="137"/>
        <v>#VALUE!</v>
      </c>
      <c r="BF38" s="720" t="e">
        <f t="shared" si="137"/>
        <v>#VALUE!</v>
      </c>
      <c r="BG38" s="720" t="e">
        <f t="shared" si="137"/>
        <v>#VALUE!</v>
      </c>
      <c r="BH38" s="720" t="e">
        <f t="shared" si="137"/>
        <v>#VALUE!</v>
      </c>
      <c r="BI38" s="720" t="e">
        <f t="shared" si="137"/>
        <v>#VALUE!</v>
      </c>
      <c r="BJ38" s="720" t="e">
        <f t="shared" si="137"/>
        <v>#VALUE!</v>
      </c>
      <c r="BK38" s="721" t="e">
        <f t="shared" si="137"/>
        <v>#VALUE!</v>
      </c>
      <c r="BL38" s="719" t="e">
        <f t="shared" si="137"/>
        <v>#VALUE!</v>
      </c>
      <c r="BM38" s="720" t="e">
        <f t="shared" si="137"/>
        <v>#VALUE!</v>
      </c>
      <c r="BN38" s="720" t="e">
        <f t="shared" si="137"/>
        <v>#VALUE!</v>
      </c>
      <c r="BO38" s="720" t="e">
        <f t="shared" si="137"/>
        <v>#VALUE!</v>
      </c>
      <c r="BP38" s="720" t="e">
        <f t="shared" ref="BP38:CE38" si="138">BP33*(1+BP36)+BP32+BP8*BP11/BP37*BP33/BP35</f>
        <v>#VALUE!</v>
      </c>
      <c r="BQ38" s="720" t="e">
        <f t="shared" si="138"/>
        <v>#VALUE!</v>
      </c>
      <c r="BR38" s="720" t="e">
        <f t="shared" si="138"/>
        <v>#VALUE!</v>
      </c>
      <c r="BS38" s="720" t="e">
        <f t="shared" si="138"/>
        <v>#VALUE!</v>
      </c>
      <c r="BT38" s="720" t="e">
        <f t="shared" si="138"/>
        <v>#VALUE!</v>
      </c>
      <c r="BU38" s="721" t="e">
        <f t="shared" si="138"/>
        <v>#VALUE!</v>
      </c>
      <c r="BV38" s="719" t="e">
        <f t="shared" si="138"/>
        <v>#VALUE!</v>
      </c>
      <c r="BW38" s="720" t="e">
        <f t="shared" si="138"/>
        <v>#VALUE!</v>
      </c>
      <c r="BX38" s="720" t="e">
        <f t="shared" si="138"/>
        <v>#VALUE!</v>
      </c>
      <c r="BY38" s="720" t="e">
        <f t="shared" si="138"/>
        <v>#VALUE!</v>
      </c>
      <c r="BZ38" s="720" t="e">
        <f t="shared" si="138"/>
        <v>#VALUE!</v>
      </c>
      <c r="CA38" s="720" t="e">
        <f t="shared" si="138"/>
        <v>#VALUE!</v>
      </c>
      <c r="CB38" s="720" t="e">
        <f t="shared" si="138"/>
        <v>#VALUE!</v>
      </c>
      <c r="CC38" s="720" t="e">
        <f t="shared" si="138"/>
        <v>#VALUE!</v>
      </c>
      <c r="CD38" s="720" t="e">
        <f t="shared" si="138"/>
        <v>#VALUE!</v>
      </c>
      <c r="CE38" s="721" t="e">
        <f t="shared" si="138"/>
        <v>#VALUE!</v>
      </c>
    </row>
    <row r="39" spans="1:156" ht="14.25" customHeight="1">
      <c r="A39" s="1194"/>
      <c r="B39" s="1195"/>
      <c r="C39" s="1195"/>
      <c r="D39" s="719" t="e">
        <f t="shared" ref="D39:AI39" si="139">D8*D11/(D35*D37)</f>
        <v>#VALUE!</v>
      </c>
      <c r="E39" s="720" t="e">
        <f t="shared" si="139"/>
        <v>#VALUE!</v>
      </c>
      <c r="F39" s="720" t="e">
        <f t="shared" si="139"/>
        <v>#VALUE!</v>
      </c>
      <c r="G39" s="720" t="e">
        <f t="shared" si="139"/>
        <v>#VALUE!</v>
      </c>
      <c r="H39" s="720" t="e">
        <f t="shared" si="139"/>
        <v>#VALUE!</v>
      </c>
      <c r="I39" s="720" t="e">
        <f t="shared" si="139"/>
        <v>#VALUE!</v>
      </c>
      <c r="J39" s="720" t="e">
        <f t="shared" si="139"/>
        <v>#VALUE!</v>
      </c>
      <c r="K39" s="720" t="e">
        <f t="shared" si="139"/>
        <v>#VALUE!</v>
      </c>
      <c r="L39" s="720" t="e">
        <f t="shared" si="139"/>
        <v>#VALUE!</v>
      </c>
      <c r="M39" s="721" t="e">
        <f t="shared" si="139"/>
        <v>#VALUE!</v>
      </c>
      <c r="N39" s="719" t="e">
        <f t="shared" si="139"/>
        <v>#VALUE!</v>
      </c>
      <c r="O39" s="720" t="e">
        <f t="shared" si="139"/>
        <v>#VALUE!</v>
      </c>
      <c r="P39" s="720" t="e">
        <f t="shared" si="139"/>
        <v>#VALUE!</v>
      </c>
      <c r="Q39" s="720" t="e">
        <f t="shared" si="139"/>
        <v>#VALUE!</v>
      </c>
      <c r="R39" s="720" t="e">
        <f t="shared" si="139"/>
        <v>#VALUE!</v>
      </c>
      <c r="S39" s="720" t="e">
        <f t="shared" si="139"/>
        <v>#VALUE!</v>
      </c>
      <c r="T39" s="720" t="e">
        <f t="shared" si="139"/>
        <v>#VALUE!</v>
      </c>
      <c r="U39" s="720" t="e">
        <f t="shared" si="139"/>
        <v>#VALUE!</v>
      </c>
      <c r="V39" s="720" t="e">
        <f t="shared" si="139"/>
        <v>#VALUE!</v>
      </c>
      <c r="W39" s="721" t="e">
        <f t="shared" si="139"/>
        <v>#VALUE!</v>
      </c>
      <c r="X39" s="719" t="e">
        <f t="shared" si="139"/>
        <v>#VALUE!</v>
      </c>
      <c r="Y39" s="720" t="e">
        <f t="shared" si="139"/>
        <v>#VALUE!</v>
      </c>
      <c r="Z39" s="720" t="e">
        <f t="shared" si="139"/>
        <v>#VALUE!</v>
      </c>
      <c r="AA39" s="720" t="e">
        <f t="shared" si="139"/>
        <v>#VALUE!</v>
      </c>
      <c r="AB39" s="720" t="e">
        <f t="shared" si="139"/>
        <v>#VALUE!</v>
      </c>
      <c r="AC39" s="720" t="e">
        <f t="shared" si="139"/>
        <v>#VALUE!</v>
      </c>
      <c r="AD39" s="720" t="e">
        <f t="shared" si="139"/>
        <v>#VALUE!</v>
      </c>
      <c r="AE39" s="720" t="e">
        <f t="shared" si="139"/>
        <v>#VALUE!</v>
      </c>
      <c r="AF39" s="720" t="e">
        <f t="shared" si="139"/>
        <v>#VALUE!</v>
      </c>
      <c r="AG39" s="721" t="e">
        <f t="shared" si="139"/>
        <v>#VALUE!</v>
      </c>
      <c r="AH39" s="719" t="e">
        <f t="shared" si="139"/>
        <v>#VALUE!</v>
      </c>
      <c r="AI39" s="720" t="e">
        <f t="shared" si="139"/>
        <v>#VALUE!</v>
      </c>
      <c r="AJ39" s="720" t="e">
        <f t="shared" ref="AJ39:BO39" si="140">AJ8*AJ11/(AJ35*AJ37)</f>
        <v>#VALUE!</v>
      </c>
      <c r="AK39" s="720" t="e">
        <f t="shared" si="140"/>
        <v>#VALUE!</v>
      </c>
      <c r="AL39" s="720" t="e">
        <f t="shared" si="140"/>
        <v>#VALUE!</v>
      </c>
      <c r="AM39" s="720" t="e">
        <f t="shared" si="140"/>
        <v>#VALUE!</v>
      </c>
      <c r="AN39" s="720" t="e">
        <f t="shared" si="140"/>
        <v>#VALUE!</v>
      </c>
      <c r="AO39" s="720" t="e">
        <f t="shared" si="140"/>
        <v>#VALUE!</v>
      </c>
      <c r="AP39" s="720" t="e">
        <f t="shared" si="140"/>
        <v>#VALUE!</v>
      </c>
      <c r="AQ39" s="721" t="e">
        <f t="shared" si="140"/>
        <v>#VALUE!</v>
      </c>
      <c r="AR39" s="719" t="e">
        <f t="shared" si="140"/>
        <v>#VALUE!</v>
      </c>
      <c r="AS39" s="720" t="e">
        <f t="shared" si="140"/>
        <v>#VALUE!</v>
      </c>
      <c r="AT39" s="720" t="e">
        <f t="shared" si="140"/>
        <v>#VALUE!</v>
      </c>
      <c r="AU39" s="720" t="e">
        <f t="shared" si="140"/>
        <v>#VALUE!</v>
      </c>
      <c r="AV39" s="720" t="e">
        <f t="shared" si="140"/>
        <v>#VALUE!</v>
      </c>
      <c r="AW39" s="720" t="e">
        <f t="shared" si="140"/>
        <v>#VALUE!</v>
      </c>
      <c r="AX39" s="720" t="e">
        <f t="shared" si="140"/>
        <v>#VALUE!</v>
      </c>
      <c r="AY39" s="720" t="e">
        <f t="shared" si="140"/>
        <v>#VALUE!</v>
      </c>
      <c r="AZ39" s="720" t="e">
        <f t="shared" si="140"/>
        <v>#VALUE!</v>
      </c>
      <c r="BA39" s="721" t="e">
        <f t="shared" si="140"/>
        <v>#VALUE!</v>
      </c>
      <c r="BB39" s="719" t="e">
        <f t="shared" si="140"/>
        <v>#VALUE!</v>
      </c>
      <c r="BC39" s="720" t="e">
        <f t="shared" si="140"/>
        <v>#VALUE!</v>
      </c>
      <c r="BD39" s="720" t="e">
        <f t="shared" si="140"/>
        <v>#VALUE!</v>
      </c>
      <c r="BE39" s="720" t="e">
        <f t="shared" si="140"/>
        <v>#VALUE!</v>
      </c>
      <c r="BF39" s="720" t="e">
        <f t="shared" si="140"/>
        <v>#VALUE!</v>
      </c>
      <c r="BG39" s="720" t="e">
        <f t="shared" si="140"/>
        <v>#VALUE!</v>
      </c>
      <c r="BH39" s="720" t="e">
        <f t="shared" si="140"/>
        <v>#VALUE!</v>
      </c>
      <c r="BI39" s="720" t="e">
        <f t="shared" si="140"/>
        <v>#VALUE!</v>
      </c>
      <c r="BJ39" s="720" t="e">
        <f t="shared" si="140"/>
        <v>#VALUE!</v>
      </c>
      <c r="BK39" s="721" t="e">
        <f t="shared" si="140"/>
        <v>#VALUE!</v>
      </c>
      <c r="BL39" s="719" t="e">
        <f t="shared" si="140"/>
        <v>#VALUE!</v>
      </c>
      <c r="BM39" s="720" t="e">
        <f t="shared" si="140"/>
        <v>#VALUE!</v>
      </c>
      <c r="BN39" s="720" t="e">
        <f t="shared" si="140"/>
        <v>#VALUE!</v>
      </c>
      <c r="BO39" s="720" t="e">
        <f t="shared" si="140"/>
        <v>#VALUE!</v>
      </c>
      <c r="BP39" s="720" t="e">
        <f t="shared" ref="BP39:CE39" si="141">BP8*BP11/(BP35*BP37)</f>
        <v>#VALUE!</v>
      </c>
      <c r="BQ39" s="720" t="e">
        <f t="shared" si="141"/>
        <v>#VALUE!</v>
      </c>
      <c r="BR39" s="720" t="e">
        <f t="shared" si="141"/>
        <v>#VALUE!</v>
      </c>
      <c r="BS39" s="720" t="e">
        <f t="shared" si="141"/>
        <v>#VALUE!</v>
      </c>
      <c r="BT39" s="720" t="e">
        <f t="shared" si="141"/>
        <v>#VALUE!</v>
      </c>
      <c r="BU39" s="721" t="e">
        <f t="shared" si="141"/>
        <v>#VALUE!</v>
      </c>
      <c r="BV39" s="719" t="e">
        <f t="shared" si="141"/>
        <v>#VALUE!</v>
      </c>
      <c r="BW39" s="720" t="e">
        <f t="shared" si="141"/>
        <v>#VALUE!</v>
      </c>
      <c r="BX39" s="720" t="e">
        <f t="shared" si="141"/>
        <v>#VALUE!</v>
      </c>
      <c r="BY39" s="720" t="e">
        <f t="shared" si="141"/>
        <v>#VALUE!</v>
      </c>
      <c r="BZ39" s="720" t="e">
        <f t="shared" si="141"/>
        <v>#VALUE!</v>
      </c>
      <c r="CA39" s="720" t="e">
        <f t="shared" si="141"/>
        <v>#VALUE!</v>
      </c>
      <c r="CB39" s="720" t="e">
        <f t="shared" si="141"/>
        <v>#VALUE!</v>
      </c>
      <c r="CC39" s="720" t="e">
        <f t="shared" si="141"/>
        <v>#VALUE!</v>
      </c>
      <c r="CD39" s="720" t="e">
        <f t="shared" si="141"/>
        <v>#VALUE!</v>
      </c>
      <c r="CE39" s="721" t="e">
        <f t="shared" si="141"/>
        <v>#VALUE!</v>
      </c>
    </row>
    <row r="40" spans="1:156" ht="14.25" customHeight="1">
      <c r="A40" s="1194"/>
      <c r="B40" s="1195"/>
      <c r="C40" s="1195"/>
      <c r="D40" s="719" t="e">
        <f>Parameter!$C$154*(SUM(Tunneldaten!$E$16:$J$16)-D8)/D37*D35^2</f>
        <v>#VALUE!</v>
      </c>
      <c r="E40" s="720" t="e">
        <f>Parameter!$C$154*(SUM(Tunneldaten!$E$16:$J$16)-E8)/E37*E35^2</f>
        <v>#VALUE!</v>
      </c>
      <c r="F40" s="720" t="e">
        <f>Parameter!$C$154*(SUM(Tunneldaten!$E$16:$J$16)-F8)/F37*F35^2</f>
        <v>#VALUE!</v>
      </c>
      <c r="G40" s="720" t="e">
        <f>Parameter!$C$154*(SUM(Tunneldaten!$E$16:$J$16)-G8)/G37*G35^2</f>
        <v>#VALUE!</v>
      </c>
      <c r="H40" s="720" t="e">
        <f>Parameter!$C$154*(SUM(Tunneldaten!$E$16:$J$16)-H8)/H37*H35^2</f>
        <v>#VALUE!</v>
      </c>
      <c r="I40" s="720" t="e">
        <f>Parameter!$C$154*(SUM(Tunneldaten!$E$16:$J$16)-I8)/I37*I35^2</f>
        <v>#VALUE!</v>
      </c>
      <c r="J40" s="720" t="e">
        <f>Parameter!$C$154*(SUM(Tunneldaten!$E$16:$J$16)-J8)/J37*J35^2</f>
        <v>#VALUE!</v>
      </c>
      <c r="K40" s="720" t="e">
        <f>Parameter!$C$154*(SUM(Tunneldaten!$E$16:$J$16)-K8)/K37*K35^2</f>
        <v>#VALUE!</v>
      </c>
      <c r="L40" s="720" t="e">
        <f>Parameter!$C$154*(SUM(Tunneldaten!$E$16:$J$16)-L8)/L37*L35^2</f>
        <v>#VALUE!</v>
      </c>
      <c r="M40" s="721" t="e">
        <f>Parameter!$C$154*(SUM(Tunneldaten!$E$16:$J$16)-M8)/M37*M35^2</f>
        <v>#VALUE!</v>
      </c>
      <c r="N40" s="719" t="e">
        <f>Parameter!$C$154*(SUM(Tunneldaten!$E$16:$J$16)-N8)/N37*N35^2</f>
        <v>#VALUE!</v>
      </c>
      <c r="O40" s="720" t="e">
        <f>Parameter!$C$154*(SUM(Tunneldaten!$E$16:$J$16)-O8)/O37*O35^2</f>
        <v>#VALUE!</v>
      </c>
      <c r="P40" s="720" t="e">
        <f>Parameter!$C$154*(SUM(Tunneldaten!$E$16:$J$16)-P8)/P37*P35^2</f>
        <v>#VALUE!</v>
      </c>
      <c r="Q40" s="720" t="e">
        <f>Parameter!$C$154*(SUM(Tunneldaten!$E$16:$J$16)-Q8)/Q37*Q35^2</f>
        <v>#VALUE!</v>
      </c>
      <c r="R40" s="720" t="e">
        <f>Parameter!$C$154*(SUM(Tunneldaten!$E$16:$J$16)-R8)/R37*R35^2</f>
        <v>#VALUE!</v>
      </c>
      <c r="S40" s="720" t="e">
        <f>Parameter!$C$154*(SUM(Tunneldaten!$E$16:$J$16)-S8)/S37*S35^2</f>
        <v>#VALUE!</v>
      </c>
      <c r="T40" s="720" t="e">
        <f>Parameter!$C$154*(SUM(Tunneldaten!$E$16:$J$16)-T8)/T37*T35^2</f>
        <v>#VALUE!</v>
      </c>
      <c r="U40" s="720" t="e">
        <f>Parameter!$C$154*(SUM(Tunneldaten!$E$16:$J$16)-U8)/U37*U35^2</f>
        <v>#VALUE!</v>
      </c>
      <c r="V40" s="720" t="e">
        <f>Parameter!$C$154*(SUM(Tunneldaten!$E$16:$J$16)-V8)/V37*V35^2</f>
        <v>#VALUE!</v>
      </c>
      <c r="W40" s="721" t="e">
        <f>Parameter!$C$154*(SUM(Tunneldaten!$E$16:$J$16)-W8)/W37*W35^2</f>
        <v>#VALUE!</v>
      </c>
      <c r="X40" s="719" t="e">
        <f>Parameter!$C$154*(SUM(Tunneldaten!$E$16:$J$16)-X8)/X37*X35^2</f>
        <v>#VALUE!</v>
      </c>
      <c r="Y40" s="720" t="e">
        <f>Parameter!$C$154*(SUM(Tunneldaten!$E$16:$J$16)-Y8)/Y37*Y35^2</f>
        <v>#VALUE!</v>
      </c>
      <c r="Z40" s="720" t="e">
        <f>Parameter!$C$154*(SUM(Tunneldaten!$E$16:$J$16)-Z8)/Z37*Z35^2</f>
        <v>#VALUE!</v>
      </c>
      <c r="AA40" s="720" t="e">
        <f>Parameter!$C$154*(SUM(Tunneldaten!$E$16:$J$16)-AA8)/AA37*AA35^2</f>
        <v>#VALUE!</v>
      </c>
      <c r="AB40" s="720" t="e">
        <f>Parameter!$C$154*(SUM(Tunneldaten!$E$16:$J$16)-AB8)/AB37*AB35^2</f>
        <v>#VALUE!</v>
      </c>
      <c r="AC40" s="720" t="e">
        <f>Parameter!$C$154*(SUM(Tunneldaten!$E$16:$J$16)-AC8)/AC37*AC35^2</f>
        <v>#VALUE!</v>
      </c>
      <c r="AD40" s="720" t="e">
        <f>Parameter!$C$154*(SUM(Tunneldaten!$E$16:$J$16)-AD8)/AD37*AD35^2</f>
        <v>#VALUE!</v>
      </c>
      <c r="AE40" s="720" t="e">
        <f>Parameter!$C$154*(SUM(Tunneldaten!$E$16:$J$16)-AE8)/AE37*AE35^2</f>
        <v>#VALUE!</v>
      </c>
      <c r="AF40" s="720" t="e">
        <f>Parameter!$C$154*(SUM(Tunneldaten!$E$16:$J$16)-AF8)/AF37*AF35^2</f>
        <v>#VALUE!</v>
      </c>
      <c r="AG40" s="721" t="e">
        <f>Parameter!$C$154*(SUM(Tunneldaten!$E$16:$J$16)-AG8)/AG37*AG35^2</f>
        <v>#VALUE!</v>
      </c>
      <c r="AH40" s="719" t="e">
        <f>Parameter!$C$154*(SUM(Tunneldaten!$E$16:$J$16)-AH8)/AH37*AH35^2</f>
        <v>#VALUE!</v>
      </c>
      <c r="AI40" s="720" t="e">
        <f>Parameter!$C$154*(SUM(Tunneldaten!$E$16:$J$16)-AI8)/AI37*AI35^2</f>
        <v>#VALUE!</v>
      </c>
      <c r="AJ40" s="720" t="e">
        <f>Parameter!$C$154*(SUM(Tunneldaten!$E$16:$J$16)-AJ8)/AJ37*AJ35^2</f>
        <v>#VALUE!</v>
      </c>
      <c r="AK40" s="720" t="e">
        <f>Parameter!$C$154*(SUM(Tunneldaten!$E$16:$J$16)-AK8)/AK37*AK35^2</f>
        <v>#VALUE!</v>
      </c>
      <c r="AL40" s="720" t="e">
        <f>Parameter!$C$154*(SUM(Tunneldaten!$E$16:$J$16)-AL8)/AL37*AL35^2</f>
        <v>#VALUE!</v>
      </c>
      <c r="AM40" s="720" t="e">
        <f>Parameter!$C$154*(SUM(Tunneldaten!$E$16:$J$16)-AM8)/AM37*AM35^2</f>
        <v>#VALUE!</v>
      </c>
      <c r="AN40" s="720" t="e">
        <f>Parameter!$C$154*(SUM(Tunneldaten!$E$16:$J$16)-AN8)/AN37*AN35^2</f>
        <v>#VALUE!</v>
      </c>
      <c r="AO40" s="720" t="e">
        <f>Parameter!$C$154*(SUM(Tunneldaten!$E$16:$J$16)-AO8)/AO37*AO35^2</f>
        <v>#VALUE!</v>
      </c>
      <c r="AP40" s="720" t="e">
        <f>Parameter!$C$154*(SUM(Tunneldaten!$E$16:$J$16)-AP8)/AP37*AP35^2</f>
        <v>#VALUE!</v>
      </c>
      <c r="AQ40" s="721" t="e">
        <f>Parameter!$C$154*(SUM(Tunneldaten!$E$16:$J$16)-AQ8)/AQ37*AQ35^2</f>
        <v>#VALUE!</v>
      </c>
      <c r="AR40" s="719" t="e">
        <f>Parameter!$C$154*(SUM(Tunneldaten!$E$16:$J$16)-AR8)/AR37*AR35^2</f>
        <v>#VALUE!</v>
      </c>
      <c r="AS40" s="720" t="e">
        <f>Parameter!$C$154*(SUM(Tunneldaten!$E$16:$J$16)-AS8)/AS37*AS35^2</f>
        <v>#VALUE!</v>
      </c>
      <c r="AT40" s="720" t="e">
        <f>Parameter!$C$154*(SUM(Tunneldaten!$E$16:$J$16)-AT8)/AT37*AT35^2</f>
        <v>#VALUE!</v>
      </c>
      <c r="AU40" s="720" t="e">
        <f>Parameter!$C$154*(SUM(Tunneldaten!$E$16:$J$16)-AU8)/AU37*AU35^2</f>
        <v>#VALUE!</v>
      </c>
      <c r="AV40" s="720" t="e">
        <f>Parameter!$C$154*(SUM(Tunneldaten!$E$16:$J$16)-AV8)/AV37*AV35^2</f>
        <v>#VALUE!</v>
      </c>
      <c r="AW40" s="720" t="e">
        <f>Parameter!$C$154*(SUM(Tunneldaten!$E$16:$J$16)-AW8)/AW37*AW35^2</f>
        <v>#VALUE!</v>
      </c>
      <c r="AX40" s="720" t="e">
        <f>Parameter!$C$154*(SUM(Tunneldaten!$E$16:$J$16)-AX8)/AX37*AX35^2</f>
        <v>#VALUE!</v>
      </c>
      <c r="AY40" s="720" t="e">
        <f>Parameter!$C$154*(SUM(Tunneldaten!$E$16:$J$16)-AY8)/AY37*AY35^2</f>
        <v>#VALUE!</v>
      </c>
      <c r="AZ40" s="720" t="e">
        <f>Parameter!$C$154*(SUM(Tunneldaten!$E$16:$J$16)-AZ8)/AZ37*AZ35^2</f>
        <v>#VALUE!</v>
      </c>
      <c r="BA40" s="721" t="e">
        <f>Parameter!$C$154*(SUM(Tunneldaten!$E$16:$J$16)-BA8)/BA37*BA35^2</f>
        <v>#VALUE!</v>
      </c>
      <c r="BB40" s="719" t="e">
        <f>Parameter!$C$154*(SUM(Tunneldaten!$E$16:$J$16)-BB8)/BB37*BB35^2</f>
        <v>#VALUE!</v>
      </c>
      <c r="BC40" s="720" t="e">
        <f>Parameter!$C$154*(SUM(Tunneldaten!$E$16:$J$16)-BC8)/BC37*BC35^2</f>
        <v>#VALUE!</v>
      </c>
      <c r="BD40" s="720" t="e">
        <f>Parameter!$C$154*(SUM(Tunneldaten!$E$16:$J$16)-BD8)/BD37*BD35^2</f>
        <v>#VALUE!</v>
      </c>
      <c r="BE40" s="720" t="e">
        <f>Parameter!$C$154*(SUM(Tunneldaten!$E$16:$J$16)-BE8)/BE37*BE35^2</f>
        <v>#VALUE!</v>
      </c>
      <c r="BF40" s="720" t="e">
        <f>Parameter!$C$154*(SUM(Tunneldaten!$E$16:$J$16)-BF8)/BF37*BF35^2</f>
        <v>#VALUE!</v>
      </c>
      <c r="BG40" s="720" t="e">
        <f>Parameter!$C$154*(SUM(Tunneldaten!$E$16:$J$16)-BG8)/BG37*BG35^2</f>
        <v>#VALUE!</v>
      </c>
      <c r="BH40" s="720" t="e">
        <f>Parameter!$C$154*(SUM(Tunneldaten!$E$16:$J$16)-BH8)/BH37*BH35^2</f>
        <v>#VALUE!</v>
      </c>
      <c r="BI40" s="720" t="e">
        <f>Parameter!$C$154*(SUM(Tunneldaten!$E$16:$J$16)-BI8)/BI37*BI35^2</f>
        <v>#VALUE!</v>
      </c>
      <c r="BJ40" s="720" t="e">
        <f>Parameter!$C$154*(SUM(Tunneldaten!$E$16:$J$16)-BJ8)/BJ37*BJ35^2</f>
        <v>#VALUE!</v>
      </c>
      <c r="BK40" s="721" t="e">
        <f>Parameter!$C$154*(SUM(Tunneldaten!$E$16:$J$16)-BK8)/BK37*BK35^2</f>
        <v>#VALUE!</v>
      </c>
      <c r="BL40" s="719" t="e">
        <f>Parameter!$C$154*(SUM(Tunneldaten!$E$16:$J$16)-BL8)/BL37*BL35^2</f>
        <v>#VALUE!</v>
      </c>
      <c r="BM40" s="720" t="e">
        <f>Parameter!$C$154*(SUM(Tunneldaten!$E$16:$J$16)-BM8)/BM37*BM35^2</f>
        <v>#VALUE!</v>
      </c>
      <c r="BN40" s="720" t="e">
        <f>Parameter!$C$154*(SUM(Tunneldaten!$E$16:$J$16)-BN8)/BN37*BN35^2</f>
        <v>#VALUE!</v>
      </c>
      <c r="BO40" s="720" t="e">
        <f>Parameter!$C$154*(SUM(Tunneldaten!$E$16:$J$16)-BO8)/BO37*BO35^2</f>
        <v>#VALUE!</v>
      </c>
      <c r="BP40" s="720" t="e">
        <f>Parameter!$C$154*(SUM(Tunneldaten!$E$16:$J$16)-BP8)/BP37*BP35^2</f>
        <v>#VALUE!</v>
      </c>
      <c r="BQ40" s="720" t="e">
        <f>Parameter!$C$154*(SUM(Tunneldaten!$E$16:$J$16)-BQ8)/BQ37*BQ35^2</f>
        <v>#VALUE!</v>
      </c>
      <c r="BR40" s="720" t="e">
        <f>Parameter!$C$154*(SUM(Tunneldaten!$E$16:$J$16)-BR8)/BR37*BR35^2</f>
        <v>#VALUE!</v>
      </c>
      <c r="BS40" s="720" t="e">
        <f>Parameter!$C$154*(SUM(Tunneldaten!$E$16:$J$16)-BS8)/BS37*BS35^2</f>
        <v>#VALUE!</v>
      </c>
      <c r="BT40" s="720" t="e">
        <f>Parameter!$C$154*(SUM(Tunneldaten!$E$16:$J$16)-BT8)/BT37*BT35^2</f>
        <v>#VALUE!</v>
      </c>
      <c r="BU40" s="721" t="e">
        <f>Parameter!$C$154*(SUM(Tunneldaten!$E$16:$J$16)-BU8)/BU37*BU35^2</f>
        <v>#VALUE!</v>
      </c>
      <c r="BV40" s="719" t="e">
        <f>Parameter!$C$154*(SUM(Tunneldaten!$E$16:$J$16)-BV8)/BV37*BV35^2</f>
        <v>#VALUE!</v>
      </c>
      <c r="BW40" s="720" t="e">
        <f>Parameter!$C$154*(SUM(Tunneldaten!$E$16:$J$16)-BW8)/BW37*BW35^2</f>
        <v>#VALUE!</v>
      </c>
      <c r="BX40" s="720" t="e">
        <f>Parameter!$C$154*(SUM(Tunneldaten!$E$16:$J$16)-BX8)/BX37*BX35^2</f>
        <v>#VALUE!</v>
      </c>
      <c r="BY40" s="720" t="e">
        <f>Parameter!$C$154*(SUM(Tunneldaten!$E$16:$J$16)-BY8)/BY37*BY35^2</f>
        <v>#VALUE!</v>
      </c>
      <c r="BZ40" s="720" t="e">
        <f>Parameter!$C$154*(SUM(Tunneldaten!$E$16:$J$16)-BZ8)/BZ37*BZ35^2</f>
        <v>#VALUE!</v>
      </c>
      <c r="CA40" s="720" t="e">
        <f>Parameter!$C$154*(SUM(Tunneldaten!$E$16:$J$16)-CA8)/CA37*CA35^2</f>
        <v>#VALUE!</v>
      </c>
      <c r="CB40" s="720" t="e">
        <f>Parameter!$C$154*(SUM(Tunneldaten!$E$16:$J$16)-CB8)/CB37*CB35^2</f>
        <v>#VALUE!</v>
      </c>
      <c r="CC40" s="720" t="e">
        <f>Parameter!$C$154*(SUM(Tunneldaten!$E$16:$J$16)-CC8)/CC37*CC35^2</f>
        <v>#VALUE!</v>
      </c>
      <c r="CD40" s="720" t="e">
        <f>Parameter!$C$154*(SUM(Tunneldaten!$E$16:$J$16)-CD8)/CD37*CD35^2</f>
        <v>#VALUE!</v>
      </c>
      <c r="CE40" s="721" t="e">
        <f>Parameter!$C$154*(SUM(Tunneldaten!$E$16:$J$16)-CE8)/CE37*CE35^2</f>
        <v>#VALUE!</v>
      </c>
    </row>
    <row r="41" spans="1:156" ht="14.25" customHeight="1">
      <c r="A41" s="1194"/>
      <c r="B41" s="1195"/>
      <c r="C41" s="1195"/>
      <c r="D41" s="719" t="e">
        <f t="shared" ref="D41" si="142">(-4*D35^2-2*D38*D33*D34-2*D39*D34*D33^1.5)/(D38*D33+D39*SQRT(D33)-D40*SQRT(D33))</f>
        <v>#VALUE!</v>
      </c>
      <c r="E41" s="720" t="e">
        <f t="shared" ref="E41:AJ41" si="143">(-4*E35^2-2*E38*E33*E34-2*E39*E34*E33^1.5)/(E38*E33+E39*SQRT(E33)-E40*SQRT(E33))</f>
        <v>#VALUE!</v>
      </c>
      <c r="F41" s="720" t="e">
        <f t="shared" si="143"/>
        <v>#VALUE!</v>
      </c>
      <c r="G41" s="720" t="e">
        <f t="shared" si="143"/>
        <v>#VALUE!</v>
      </c>
      <c r="H41" s="720" t="e">
        <f t="shared" si="143"/>
        <v>#VALUE!</v>
      </c>
      <c r="I41" s="720" t="e">
        <f t="shared" si="143"/>
        <v>#VALUE!</v>
      </c>
      <c r="J41" s="720" t="e">
        <f t="shared" si="143"/>
        <v>#VALUE!</v>
      </c>
      <c r="K41" s="720" t="e">
        <f t="shared" si="143"/>
        <v>#VALUE!</v>
      </c>
      <c r="L41" s="720" t="e">
        <f t="shared" si="143"/>
        <v>#VALUE!</v>
      </c>
      <c r="M41" s="721" t="e">
        <f t="shared" si="143"/>
        <v>#VALUE!</v>
      </c>
      <c r="N41" s="719" t="e">
        <f t="shared" si="143"/>
        <v>#VALUE!</v>
      </c>
      <c r="O41" s="720" t="e">
        <f t="shared" si="143"/>
        <v>#VALUE!</v>
      </c>
      <c r="P41" s="720" t="e">
        <f t="shared" si="143"/>
        <v>#VALUE!</v>
      </c>
      <c r="Q41" s="720" t="e">
        <f t="shared" si="143"/>
        <v>#VALUE!</v>
      </c>
      <c r="R41" s="720" t="e">
        <f t="shared" si="143"/>
        <v>#VALUE!</v>
      </c>
      <c r="S41" s="720" t="e">
        <f t="shared" si="143"/>
        <v>#VALUE!</v>
      </c>
      <c r="T41" s="720" t="e">
        <f t="shared" si="143"/>
        <v>#VALUE!</v>
      </c>
      <c r="U41" s="720" t="e">
        <f t="shared" si="143"/>
        <v>#VALUE!</v>
      </c>
      <c r="V41" s="720" t="e">
        <f t="shared" si="143"/>
        <v>#VALUE!</v>
      </c>
      <c r="W41" s="721" t="e">
        <f t="shared" si="143"/>
        <v>#VALUE!</v>
      </c>
      <c r="X41" s="719" t="e">
        <f t="shared" si="143"/>
        <v>#VALUE!</v>
      </c>
      <c r="Y41" s="720" t="e">
        <f t="shared" si="143"/>
        <v>#VALUE!</v>
      </c>
      <c r="Z41" s="720" t="e">
        <f t="shared" si="143"/>
        <v>#VALUE!</v>
      </c>
      <c r="AA41" s="720" t="e">
        <f t="shared" si="143"/>
        <v>#VALUE!</v>
      </c>
      <c r="AB41" s="720" t="e">
        <f t="shared" si="143"/>
        <v>#VALUE!</v>
      </c>
      <c r="AC41" s="720" t="e">
        <f t="shared" si="143"/>
        <v>#VALUE!</v>
      </c>
      <c r="AD41" s="720" t="e">
        <f t="shared" si="143"/>
        <v>#VALUE!</v>
      </c>
      <c r="AE41" s="720" t="e">
        <f t="shared" si="143"/>
        <v>#VALUE!</v>
      </c>
      <c r="AF41" s="720" t="e">
        <f t="shared" si="143"/>
        <v>#VALUE!</v>
      </c>
      <c r="AG41" s="721" t="e">
        <f t="shared" si="143"/>
        <v>#VALUE!</v>
      </c>
      <c r="AH41" s="719" t="e">
        <f t="shared" si="143"/>
        <v>#VALUE!</v>
      </c>
      <c r="AI41" s="720" t="e">
        <f t="shared" si="143"/>
        <v>#VALUE!</v>
      </c>
      <c r="AJ41" s="720" t="e">
        <f t="shared" si="143"/>
        <v>#VALUE!</v>
      </c>
      <c r="AK41" s="720" t="e">
        <f t="shared" ref="AK41:BF41" si="144">(-4*AK35^2-2*AK38*AK33*AK34-2*AK39*AK34*AK33^1.5)/(AK38*AK33+AK39*SQRT(AK33)-AK40*SQRT(AK33))</f>
        <v>#VALUE!</v>
      </c>
      <c r="AL41" s="720" t="e">
        <f t="shared" si="144"/>
        <v>#VALUE!</v>
      </c>
      <c r="AM41" s="720" t="e">
        <f t="shared" si="144"/>
        <v>#VALUE!</v>
      </c>
      <c r="AN41" s="720" t="e">
        <f t="shared" si="144"/>
        <v>#VALUE!</v>
      </c>
      <c r="AO41" s="720" t="e">
        <f t="shared" si="144"/>
        <v>#VALUE!</v>
      </c>
      <c r="AP41" s="720" t="e">
        <f t="shared" si="144"/>
        <v>#VALUE!</v>
      </c>
      <c r="AQ41" s="721" t="e">
        <f t="shared" si="144"/>
        <v>#VALUE!</v>
      </c>
      <c r="AR41" s="719" t="e">
        <f t="shared" si="144"/>
        <v>#VALUE!</v>
      </c>
      <c r="AS41" s="720" t="e">
        <f t="shared" si="144"/>
        <v>#VALUE!</v>
      </c>
      <c r="AT41" s="720" t="e">
        <f t="shared" si="144"/>
        <v>#VALUE!</v>
      </c>
      <c r="AU41" s="720" t="e">
        <f t="shared" si="144"/>
        <v>#VALUE!</v>
      </c>
      <c r="AV41" s="720" t="e">
        <f t="shared" si="144"/>
        <v>#VALUE!</v>
      </c>
      <c r="AW41" s="720" t="e">
        <f t="shared" si="144"/>
        <v>#VALUE!</v>
      </c>
      <c r="AX41" s="720" t="e">
        <f t="shared" si="144"/>
        <v>#VALUE!</v>
      </c>
      <c r="AY41" s="720" t="e">
        <f t="shared" si="144"/>
        <v>#VALUE!</v>
      </c>
      <c r="AZ41" s="720" t="e">
        <f t="shared" si="144"/>
        <v>#VALUE!</v>
      </c>
      <c r="BA41" s="721" t="e">
        <f t="shared" si="144"/>
        <v>#VALUE!</v>
      </c>
      <c r="BB41" s="719" t="e">
        <f t="shared" si="144"/>
        <v>#VALUE!</v>
      </c>
      <c r="BC41" s="720" t="e">
        <f t="shared" si="144"/>
        <v>#VALUE!</v>
      </c>
      <c r="BD41" s="720" t="e">
        <f t="shared" si="144"/>
        <v>#VALUE!</v>
      </c>
      <c r="BE41" s="720" t="e">
        <f t="shared" si="144"/>
        <v>#VALUE!</v>
      </c>
      <c r="BF41" s="720" t="e">
        <f t="shared" si="144"/>
        <v>#VALUE!</v>
      </c>
      <c r="BG41" s="720" t="e">
        <f t="shared" ref="BG41:CE41" si="145">(-4*BG35^2-2*BG38*BG33*BG34-2*BG39*BG34*BG33^1.5)/(BG38*BG33+BG39*SQRT(BG33)-BG40*SQRT(BG33))</f>
        <v>#VALUE!</v>
      </c>
      <c r="BH41" s="720" t="e">
        <f t="shared" si="145"/>
        <v>#VALUE!</v>
      </c>
      <c r="BI41" s="720" t="e">
        <f t="shared" si="145"/>
        <v>#VALUE!</v>
      </c>
      <c r="BJ41" s="720" t="e">
        <f t="shared" si="145"/>
        <v>#VALUE!</v>
      </c>
      <c r="BK41" s="721" t="e">
        <f t="shared" si="145"/>
        <v>#VALUE!</v>
      </c>
      <c r="BL41" s="719" t="e">
        <f t="shared" si="145"/>
        <v>#VALUE!</v>
      </c>
      <c r="BM41" s="720" t="e">
        <f t="shared" si="145"/>
        <v>#VALUE!</v>
      </c>
      <c r="BN41" s="720" t="e">
        <f t="shared" si="145"/>
        <v>#VALUE!</v>
      </c>
      <c r="BO41" s="720" t="e">
        <f t="shared" si="145"/>
        <v>#VALUE!</v>
      </c>
      <c r="BP41" s="720" t="e">
        <f t="shared" si="145"/>
        <v>#VALUE!</v>
      </c>
      <c r="BQ41" s="720" t="e">
        <f t="shared" si="145"/>
        <v>#VALUE!</v>
      </c>
      <c r="BR41" s="720" t="e">
        <f t="shared" si="145"/>
        <v>#VALUE!</v>
      </c>
      <c r="BS41" s="720" t="e">
        <f t="shared" si="145"/>
        <v>#VALUE!</v>
      </c>
      <c r="BT41" s="720" t="e">
        <f t="shared" si="145"/>
        <v>#VALUE!</v>
      </c>
      <c r="BU41" s="721" t="e">
        <f t="shared" si="145"/>
        <v>#VALUE!</v>
      </c>
      <c r="BV41" s="719" t="e">
        <f t="shared" si="145"/>
        <v>#VALUE!</v>
      </c>
      <c r="BW41" s="720" t="e">
        <f t="shared" si="145"/>
        <v>#VALUE!</v>
      </c>
      <c r="BX41" s="720" t="e">
        <f t="shared" si="145"/>
        <v>#VALUE!</v>
      </c>
      <c r="BY41" s="720" t="e">
        <f t="shared" si="145"/>
        <v>#VALUE!</v>
      </c>
      <c r="BZ41" s="720" t="e">
        <f t="shared" si="145"/>
        <v>#VALUE!</v>
      </c>
      <c r="CA41" s="720" t="e">
        <f t="shared" si="145"/>
        <v>#VALUE!</v>
      </c>
      <c r="CB41" s="720" t="e">
        <f t="shared" si="145"/>
        <v>#VALUE!</v>
      </c>
      <c r="CC41" s="720" t="e">
        <f t="shared" si="145"/>
        <v>#VALUE!</v>
      </c>
      <c r="CD41" s="720" t="e">
        <f t="shared" si="145"/>
        <v>#VALUE!</v>
      </c>
      <c r="CE41" s="721" t="e">
        <f t="shared" si="145"/>
        <v>#VALUE!</v>
      </c>
    </row>
    <row r="42" spans="1:156" ht="14.25" customHeight="1">
      <c r="A42" s="1194"/>
      <c r="B42" s="1195"/>
      <c r="C42" s="1195"/>
      <c r="D42" s="719" t="e">
        <f t="shared" ref="D42" si="146">(D38*SQRT(D33)+2*D39*D33^2)*(D34^2)/(D38*SQRT(D33)+D39-D40)</f>
        <v>#VALUE!</v>
      </c>
      <c r="E42" s="720" t="e">
        <f t="shared" ref="E42:AJ42" si="147">(E38*SQRT(E33)+2*E39*E33^2)*(E34^2)/(E38*SQRT(E33)+E39-E40)</f>
        <v>#VALUE!</v>
      </c>
      <c r="F42" s="720" t="e">
        <f t="shared" si="147"/>
        <v>#VALUE!</v>
      </c>
      <c r="G42" s="720" t="e">
        <f t="shared" si="147"/>
        <v>#VALUE!</v>
      </c>
      <c r="H42" s="720" t="e">
        <f t="shared" si="147"/>
        <v>#VALUE!</v>
      </c>
      <c r="I42" s="720" t="e">
        <f t="shared" si="147"/>
        <v>#VALUE!</v>
      </c>
      <c r="J42" s="720" t="e">
        <f t="shared" si="147"/>
        <v>#VALUE!</v>
      </c>
      <c r="K42" s="720" t="e">
        <f t="shared" si="147"/>
        <v>#VALUE!</v>
      </c>
      <c r="L42" s="720" t="e">
        <f t="shared" si="147"/>
        <v>#VALUE!</v>
      </c>
      <c r="M42" s="721" t="e">
        <f t="shared" si="147"/>
        <v>#VALUE!</v>
      </c>
      <c r="N42" s="719" t="e">
        <f t="shared" si="147"/>
        <v>#VALUE!</v>
      </c>
      <c r="O42" s="720" t="e">
        <f t="shared" si="147"/>
        <v>#VALUE!</v>
      </c>
      <c r="P42" s="720" t="e">
        <f t="shared" si="147"/>
        <v>#VALUE!</v>
      </c>
      <c r="Q42" s="720" t="e">
        <f t="shared" si="147"/>
        <v>#VALUE!</v>
      </c>
      <c r="R42" s="720" t="e">
        <f t="shared" si="147"/>
        <v>#VALUE!</v>
      </c>
      <c r="S42" s="720" t="e">
        <f t="shared" si="147"/>
        <v>#VALUE!</v>
      </c>
      <c r="T42" s="720" t="e">
        <f t="shared" si="147"/>
        <v>#VALUE!</v>
      </c>
      <c r="U42" s="720" t="e">
        <f t="shared" si="147"/>
        <v>#VALUE!</v>
      </c>
      <c r="V42" s="720" t="e">
        <f t="shared" si="147"/>
        <v>#VALUE!</v>
      </c>
      <c r="W42" s="721" t="e">
        <f t="shared" si="147"/>
        <v>#VALUE!</v>
      </c>
      <c r="X42" s="719" t="e">
        <f t="shared" si="147"/>
        <v>#VALUE!</v>
      </c>
      <c r="Y42" s="720" t="e">
        <f t="shared" si="147"/>
        <v>#VALUE!</v>
      </c>
      <c r="Z42" s="720" t="e">
        <f t="shared" si="147"/>
        <v>#VALUE!</v>
      </c>
      <c r="AA42" s="720" t="e">
        <f t="shared" si="147"/>
        <v>#VALUE!</v>
      </c>
      <c r="AB42" s="720" t="e">
        <f t="shared" si="147"/>
        <v>#VALUE!</v>
      </c>
      <c r="AC42" s="720" t="e">
        <f t="shared" si="147"/>
        <v>#VALUE!</v>
      </c>
      <c r="AD42" s="720" t="e">
        <f t="shared" si="147"/>
        <v>#VALUE!</v>
      </c>
      <c r="AE42" s="720" t="e">
        <f t="shared" si="147"/>
        <v>#VALUE!</v>
      </c>
      <c r="AF42" s="720" t="e">
        <f t="shared" si="147"/>
        <v>#VALUE!</v>
      </c>
      <c r="AG42" s="721" t="e">
        <f t="shared" si="147"/>
        <v>#VALUE!</v>
      </c>
      <c r="AH42" s="719" t="e">
        <f t="shared" si="147"/>
        <v>#VALUE!</v>
      </c>
      <c r="AI42" s="720" t="e">
        <f t="shared" si="147"/>
        <v>#VALUE!</v>
      </c>
      <c r="AJ42" s="720" t="e">
        <f t="shared" si="147"/>
        <v>#VALUE!</v>
      </c>
      <c r="AK42" s="720" t="e">
        <f t="shared" ref="AK42:BF42" si="148">(AK38*SQRT(AK33)+2*AK39*AK33^2)*(AK34^2)/(AK38*SQRT(AK33)+AK39-AK40)</f>
        <v>#VALUE!</v>
      </c>
      <c r="AL42" s="720" t="e">
        <f t="shared" si="148"/>
        <v>#VALUE!</v>
      </c>
      <c r="AM42" s="720" t="e">
        <f t="shared" si="148"/>
        <v>#VALUE!</v>
      </c>
      <c r="AN42" s="720" t="e">
        <f t="shared" si="148"/>
        <v>#VALUE!</v>
      </c>
      <c r="AO42" s="720" t="e">
        <f t="shared" si="148"/>
        <v>#VALUE!</v>
      </c>
      <c r="AP42" s="720" t="e">
        <f t="shared" si="148"/>
        <v>#VALUE!</v>
      </c>
      <c r="AQ42" s="721" t="e">
        <f t="shared" si="148"/>
        <v>#VALUE!</v>
      </c>
      <c r="AR42" s="719" t="e">
        <f t="shared" si="148"/>
        <v>#VALUE!</v>
      </c>
      <c r="AS42" s="720" t="e">
        <f t="shared" si="148"/>
        <v>#VALUE!</v>
      </c>
      <c r="AT42" s="720" t="e">
        <f t="shared" si="148"/>
        <v>#VALUE!</v>
      </c>
      <c r="AU42" s="720" t="e">
        <f t="shared" si="148"/>
        <v>#VALUE!</v>
      </c>
      <c r="AV42" s="720" t="e">
        <f t="shared" si="148"/>
        <v>#VALUE!</v>
      </c>
      <c r="AW42" s="720" t="e">
        <f t="shared" si="148"/>
        <v>#VALUE!</v>
      </c>
      <c r="AX42" s="720" t="e">
        <f t="shared" si="148"/>
        <v>#VALUE!</v>
      </c>
      <c r="AY42" s="720" t="e">
        <f t="shared" si="148"/>
        <v>#VALUE!</v>
      </c>
      <c r="AZ42" s="720" t="e">
        <f t="shared" si="148"/>
        <v>#VALUE!</v>
      </c>
      <c r="BA42" s="721" t="e">
        <f t="shared" si="148"/>
        <v>#VALUE!</v>
      </c>
      <c r="BB42" s="719" t="e">
        <f t="shared" si="148"/>
        <v>#VALUE!</v>
      </c>
      <c r="BC42" s="720" t="e">
        <f t="shared" si="148"/>
        <v>#VALUE!</v>
      </c>
      <c r="BD42" s="720" t="e">
        <f t="shared" si="148"/>
        <v>#VALUE!</v>
      </c>
      <c r="BE42" s="720" t="e">
        <f t="shared" si="148"/>
        <v>#VALUE!</v>
      </c>
      <c r="BF42" s="720" t="e">
        <f t="shared" si="148"/>
        <v>#VALUE!</v>
      </c>
      <c r="BG42" s="720" t="e">
        <f t="shared" ref="BG42:CE42" si="149">(BG38*SQRT(BG33)+2*BG39*BG33^2)*(BG34^2)/(BG38*SQRT(BG33)+BG39-BG40)</f>
        <v>#VALUE!</v>
      </c>
      <c r="BH42" s="720" t="e">
        <f t="shared" si="149"/>
        <v>#VALUE!</v>
      </c>
      <c r="BI42" s="720" t="e">
        <f t="shared" si="149"/>
        <v>#VALUE!</v>
      </c>
      <c r="BJ42" s="720" t="e">
        <f t="shared" si="149"/>
        <v>#VALUE!</v>
      </c>
      <c r="BK42" s="721" t="e">
        <f t="shared" si="149"/>
        <v>#VALUE!</v>
      </c>
      <c r="BL42" s="719" t="e">
        <f t="shared" si="149"/>
        <v>#VALUE!</v>
      </c>
      <c r="BM42" s="720" t="e">
        <f t="shared" si="149"/>
        <v>#VALUE!</v>
      </c>
      <c r="BN42" s="720" t="e">
        <f t="shared" si="149"/>
        <v>#VALUE!</v>
      </c>
      <c r="BO42" s="720" t="e">
        <f t="shared" si="149"/>
        <v>#VALUE!</v>
      </c>
      <c r="BP42" s="720" t="e">
        <f t="shared" si="149"/>
        <v>#VALUE!</v>
      </c>
      <c r="BQ42" s="720" t="e">
        <f t="shared" si="149"/>
        <v>#VALUE!</v>
      </c>
      <c r="BR42" s="720" t="e">
        <f t="shared" si="149"/>
        <v>#VALUE!</v>
      </c>
      <c r="BS42" s="720" t="e">
        <f t="shared" si="149"/>
        <v>#VALUE!</v>
      </c>
      <c r="BT42" s="720" t="e">
        <f t="shared" si="149"/>
        <v>#VALUE!</v>
      </c>
      <c r="BU42" s="721" t="e">
        <f t="shared" si="149"/>
        <v>#VALUE!</v>
      </c>
      <c r="BV42" s="719" t="e">
        <f t="shared" si="149"/>
        <v>#VALUE!</v>
      </c>
      <c r="BW42" s="720" t="e">
        <f t="shared" si="149"/>
        <v>#VALUE!</v>
      </c>
      <c r="BX42" s="720" t="e">
        <f t="shared" si="149"/>
        <v>#VALUE!</v>
      </c>
      <c r="BY42" s="720" t="e">
        <f t="shared" si="149"/>
        <v>#VALUE!</v>
      </c>
      <c r="BZ42" s="720" t="e">
        <f t="shared" si="149"/>
        <v>#VALUE!</v>
      </c>
      <c r="CA42" s="720" t="e">
        <f t="shared" si="149"/>
        <v>#VALUE!</v>
      </c>
      <c r="CB42" s="720" t="e">
        <f t="shared" si="149"/>
        <v>#VALUE!</v>
      </c>
      <c r="CC42" s="720" t="e">
        <f t="shared" si="149"/>
        <v>#VALUE!</v>
      </c>
      <c r="CD42" s="720" t="e">
        <f t="shared" si="149"/>
        <v>#VALUE!</v>
      </c>
      <c r="CE42" s="721" t="e">
        <f t="shared" si="149"/>
        <v>#VALUE!</v>
      </c>
    </row>
    <row r="43" spans="1:156" ht="14.25" customHeight="1">
      <c r="A43" s="1194"/>
      <c r="B43" s="1195"/>
      <c r="C43" s="1195"/>
      <c r="D43" s="719" t="e">
        <f t="shared" ref="D43" si="150">-D41/2+SQRT(0.25*D41^2-D42)</f>
        <v>#VALUE!</v>
      </c>
      <c r="E43" s="720" t="e">
        <f t="shared" ref="E43:AJ43" si="151">-E41/2+SQRT(0.25*E41^2-E42)</f>
        <v>#VALUE!</v>
      </c>
      <c r="F43" s="720" t="e">
        <f t="shared" si="151"/>
        <v>#VALUE!</v>
      </c>
      <c r="G43" s="720" t="e">
        <f t="shared" si="151"/>
        <v>#VALUE!</v>
      </c>
      <c r="H43" s="720" t="e">
        <f t="shared" si="151"/>
        <v>#VALUE!</v>
      </c>
      <c r="I43" s="720" t="e">
        <f t="shared" si="151"/>
        <v>#VALUE!</v>
      </c>
      <c r="J43" s="720" t="e">
        <f t="shared" si="151"/>
        <v>#VALUE!</v>
      </c>
      <c r="K43" s="720" t="e">
        <f t="shared" si="151"/>
        <v>#VALUE!</v>
      </c>
      <c r="L43" s="720" t="e">
        <f t="shared" si="151"/>
        <v>#VALUE!</v>
      </c>
      <c r="M43" s="721" t="e">
        <f t="shared" si="151"/>
        <v>#VALUE!</v>
      </c>
      <c r="N43" s="719" t="e">
        <f t="shared" si="151"/>
        <v>#VALUE!</v>
      </c>
      <c r="O43" s="720" t="e">
        <f t="shared" si="151"/>
        <v>#VALUE!</v>
      </c>
      <c r="P43" s="720" t="e">
        <f t="shared" si="151"/>
        <v>#VALUE!</v>
      </c>
      <c r="Q43" s="720" t="e">
        <f t="shared" si="151"/>
        <v>#VALUE!</v>
      </c>
      <c r="R43" s="720" t="e">
        <f t="shared" si="151"/>
        <v>#VALUE!</v>
      </c>
      <c r="S43" s="720" t="e">
        <f t="shared" si="151"/>
        <v>#VALUE!</v>
      </c>
      <c r="T43" s="720" t="e">
        <f t="shared" si="151"/>
        <v>#VALUE!</v>
      </c>
      <c r="U43" s="720" t="e">
        <f t="shared" si="151"/>
        <v>#VALUE!</v>
      </c>
      <c r="V43" s="720" t="e">
        <f t="shared" si="151"/>
        <v>#VALUE!</v>
      </c>
      <c r="W43" s="721" t="e">
        <f t="shared" si="151"/>
        <v>#VALUE!</v>
      </c>
      <c r="X43" s="719" t="e">
        <f t="shared" si="151"/>
        <v>#VALUE!</v>
      </c>
      <c r="Y43" s="720" t="e">
        <f t="shared" si="151"/>
        <v>#VALUE!</v>
      </c>
      <c r="Z43" s="720" t="e">
        <f t="shared" si="151"/>
        <v>#VALUE!</v>
      </c>
      <c r="AA43" s="720" t="e">
        <f t="shared" si="151"/>
        <v>#VALUE!</v>
      </c>
      <c r="AB43" s="720" t="e">
        <f t="shared" si="151"/>
        <v>#VALUE!</v>
      </c>
      <c r="AC43" s="720" t="e">
        <f t="shared" si="151"/>
        <v>#VALUE!</v>
      </c>
      <c r="AD43" s="720" t="e">
        <f t="shared" si="151"/>
        <v>#VALUE!</v>
      </c>
      <c r="AE43" s="720" t="e">
        <f t="shared" si="151"/>
        <v>#VALUE!</v>
      </c>
      <c r="AF43" s="720" t="e">
        <f t="shared" si="151"/>
        <v>#VALUE!</v>
      </c>
      <c r="AG43" s="721" t="e">
        <f t="shared" si="151"/>
        <v>#VALUE!</v>
      </c>
      <c r="AH43" s="719" t="e">
        <f t="shared" si="151"/>
        <v>#VALUE!</v>
      </c>
      <c r="AI43" s="720" t="e">
        <f t="shared" si="151"/>
        <v>#VALUE!</v>
      </c>
      <c r="AJ43" s="720" t="e">
        <f t="shared" si="151"/>
        <v>#VALUE!</v>
      </c>
      <c r="AK43" s="720" t="e">
        <f t="shared" ref="AK43:BF43" si="152">-AK41/2+SQRT(0.25*AK41^2-AK42)</f>
        <v>#VALUE!</v>
      </c>
      <c r="AL43" s="720" t="e">
        <f t="shared" si="152"/>
        <v>#VALUE!</v>
      </c>
      <c r="AM43" s="720" t="e">
        <f t="shared" si="152"/>
        <v>#VALUE!</v>
      </c>
      <c r="AN43" s="720" t="e">
        <f t="shared" si="152"/>
        <v>#VALUE!</v>
      </c>
      <c r="AO43" s="720" t="e">
        <f t="shared" si="152"/>
        <v>#VALUE!</v>
      </c>
      <c r="AP43" s="720" t="e">
        <f t="shared" si="152"/>
        <v>#VALUE!</v>
      </c>
      <c r="AQ43" s="721" t="e">
        <f t="shared" si="152"/>
        <v>#VALUE!</v>
      </c>
      <c r="AR43" s="719" t="e">
        <f t="shared" si="152"/>
        <v>#VALUE!</v>
      </c>
      <c r="AS43" s="720" t="e">
        <f t="shared" si="152"/>
        <v>#VALUE!</v>
      </c>
      <c r="AT43" s="720" t="e">
        <f t="shared" si="152"/>
        <v>#VALUE!</v>
      </c>
      <c r="AU43" s="720" t="e">
        <f t="shared" si="152"/>
        <v>#VALUE!</v>
      </c>
      <c r="AV43" s="720" t="e">
        <f t="shared" si="152"/>
        <v>#VALUE!</v>
      </c>
      <c r="AW43" s="720" t="e">
        <f t="shared" si="152"/>
        <v>#VALUE!</v>
      </c>
      <c r="AX43" s="720" t="e">
        <f t="shared" si="152"/>
        <v>#VALUE!</v>
      </c>
      <c r="AY43" s="720" t="e">
        <f t="shared" si="152"/>
        <v>#VALUE!</v>
      </c>
      <c r="AZ43" s="720" t="e">
        <f t="shared" si="152"/>
        <v>#VALUE!</v>
      </c>
      <c r="BA43" s="721" t="e">
        <f t="shared" si="152"/>
        <v>#VALUE!</v>
      </c>
      <c r="BB43" s="719" t="e">
        <f t="shared" si="152"/>
        <v>#VALUE!</v>
      </c>
      <c r="BC43" s="720" t="e">
        <f t="shared" si="152"/>
        <v>#VALUE!</v>
      </c>
      <c r="BD43" s="720" t="e">
        <f t="shared" si="152"/>
        <v>#VALUE!</v>
      </c>
      <c r="BE43" s="720" t="e">
        <f t="shared" si="152"/>
        <v>#VALUE!</v>
      </c>
      <c r="BF43" s="720" t="e">
        <f t="shared" si="152"/>
        <v>#VALUE!</v>
      </c>
      <c r="BG43" s="720" t="e">
        <f t="shared" ref="BG43:CE43" si="153">-BG41/2+SQRT(0.25*BG41^2-BG42)</f>
        <v>#VALUE!</v>
      </c>
      <c r="BH43" s="720" t="e">
        <f t="shared" si="153"/>
        <v>#VALUE!</v>
      </c>
      <c r="BI43" s="720" t="e">
        <f t="shared" si="153"/>
        <v>#VALUE!</v>
      </c>
      <c r="BJ43" s="720" t="e">
        <f t="shared" si="153"/>
        <v>#VALUE!</v>
      </c>
      <c r="BK43" s="721" t="e">
        <f t="shared" si="153"/>
        <v>#VALUE!</v>
      </c>
      <c r="BL43" s="719" t="e">
        <f t="shared" si="153"/>
        <v>#VALUE!</v>
      </c>
      <c r="BM43" s="720" t="e">
        <f t="shared" si="153"/>
        <v>#VALUE!</v>
      </c>
      <c r="BN43" s="720" t="e">
        <f t="shared" si="153"/>
        <v>#VALUE!</v>
      </c>
      <c r="BO43" s="720" t="e">
        <f t="shared" si="153"/>
        <v>#VALUE!</v>
      </c>
      <c r="BP43" s="720" t="e">
        <f t="shared" si="153"/>
        <v>#VALUE!</v>
      </c>
      <c r="BQ43" s="720" t="e">
        <f t="shared" si="153"/>
        <v>#VALUE!</v>
      </c>
      <c r="BR43" s="720" t="e">
        <f t="shared" si="153"/>
        <v>#VALUE!</v>
      </c>
      <c r="BS43" s="720" t="e">
        <f t="shared" si="153"/>
        <v>#VALUE!</v>
      </c>
      <c r="BT43" s="720" t="e">
        <f t="shared" si="153"/>
        <v>#VALUE!</v>
      </c>
      <c r="BU43" s="721" t="e">
        <f t="shared" si="153"/>
        <v>#VALUE!</v>
      </c>
      <c r="BV43" s="719" t="e">
        <f t="shared" si="153"/>
        <v>#VALUE!</v>
      </c>
      <c r="BW43" s="720" t="e">
        <f t="shared" si="153"/>
        <v>#VALUE!</v>
      </c>
      <c r="BX43" s="720" t="e">
        <f t="shared" si="153"/>
        <v>#VALUE!</v>
      </c>
      <c r="BY43" s="720" t="e">
        <f t="shared" si="153"/>
        <v>#VALUE!</v>
      </c>
      <c r="BZ43" s="720" t="e">
        <f t="shared" si="153"/>
        <v>#VALUE!</v>
      </c>
      <c r="CA43" s="720" t="e">
        <f t="shared" si="153"/>
        <v>#VALUE!</v>
      </c>
      <c r="CB43" s="720" t="e">
        <f t="shared" si="153"/>
        <v>#VALUE!</v>
      </c>
      <c r="CC43" s="720" t="e">
        <f t="shared" si="153"/>
        <v>#VALUE!</v>
      </c>
      <c r="CD43" s="720" t="e">
        <f t="shared" si="153"/>
        <v>#VALUE!</v>
      </c>
      <c r="CE43" s="721" t="e">
        <f t="shared" si="153"/>
        <v>#VALUE!</v>
      </c>
    </row>
    <row r="44" spans="1:156" s="56" customFormat="1" ht="14.25" customHeight="1">
      <c r="A44" s="1194"/>
      <c r="B44" s="1195"/>
      <c r="C44" s="1195"/>
      <c r="D44" s="719" t="e">
        <f t="shared" ref="D44" si="154">D43/D34-D33</f>
        <v>#VALUE!</v>
      </c>
      <c r="E44" s="720" t="e">
        <f t="shared" ref="E44:AJ44" si="155">E43/E34-E33</f>
        <v>#VALUE!</v>
      </c>
      <c r="F44" s="720" t="e">
        <f t="shared" si="155"/>
        <v>#VALUE!</v>
      </c>
      <c r="G44" s="720" t="e">
        <f t="shared" si="155"/>
        <v>#VALUE!</v>
      </c>
      <c r="H44" s="720" t="e">
        <f t="shared" si="155"/>
        <v>#VALUE!</v>
      </c>
      <c r="I44" s="720" t="e">
        <f t="shared" si="155"/>
        <v>#VALUE!</v>
      </c>
      <c r="J44" s="720" t="e">
        <f t="shared" si="155"/>
        <v>#VALUE!</v>
      </c>
      <c r="K44" s="720" t="e">
        <f t="shared" si="155"/>
        <v>#VALUE!</v>
      </c>
      <c r="L44" s="720" t="e">
        <f t="shared" si="155"/>
        <v>#VALUE!</v>
      </c>
      <c r="M44" s="721" t="e">
        <f t="shared" si="155"/>
        <v>#VALUE!</v>
      </c>
      <c r="N44" s="719" t="e">
        <f t="shared" si="155"/>
        <v>#VALUE!</v>
      </c>
      <c r="O44" s="720" t="e">
        <f t="shared" si="155"/>
        <v>#VALUE!</v>
      </c>
      <c r="P44" s="720" t="e">
        <f t="shared" si="155"/>
        <v>#VALUE!</v>
      </c>
      <c r="Q44" s="720" t="e">
        <f t="shared" si="155"/>
        <v>#VALUE!</v>
      </c>
      <c r="R44" s="720" t="e">
        <f t="shared" si="155"/>
        <v>#VALUE!</v>
      </c>
      <c r="S44" s="720" t="e">
        <f t="shared" si="155"/>
        <v>#VALUE!</v>
      </c>
      <c r="T44" s="720" t="e">
        <f t="shared" si="155"/>
        <v>#VALUE!</v>
      </c>
      <c r="U44" s="720" t="e">
        <f t="shared" si="155"/>
        <v>#VALUE!</v>
      </c>
      <c r="V44" s="720" t="e">
        <f t="shared" si="155"/>
        <v>#VALUE!</v>
      </c>
      <c r="W44" s="721" t="e">
        <f t="shared" si="155"/>
        <v>#VALUE!</v>
      </c>
      <c r="X44" s="719" t="e">
        <f t="shared" si="155"/>
        <v>#VALUE!</v>
      </c>
      <c r="Y44" s="720" t="e">
        <f t="shared" si="155"/>
        <v>#VALUE!</v>
      </c>
      <c r="Z44" s="720" t="e">
        <f t="shared" si="155"/>
        <v>#VALUE!</v>
      </c>
      <c r="AA44" s="720" t="e">
        <f t="shared" si="155"/>
        <v>#VALUE!</v>
      </c>
      <c r="AB44" s="720" t="e">
        <f t="shared" si="155"/>
        <v>#VALUE!</v>
      </c>
      <c r="AC44" s="720" t="e">
        <f t="shared" si="155"/>
        <v>#VALUE!</v>
      </c>
      <c r="AD44" s="720" t="e">
        <f t="shared" si="155"/>
        <v>#VALUE!</v>
      </c>
      <c r="AE44" s="720" t="e">
        <f t="shared" si="155"/>
        <v>#VALUE!</v>
      </c>
      <c r="AF44" s="720" t="e">
        <f t="shared" si="155"/>
        <v>#VALUE!</v>
      </c>
      <c r="AG44" s="721" t="e">
        <f t="shared" si="155"/>
        <v>#VALUE!</v>
      </c>
      <c r="AH44" s="719" t="e">
        <f t="shared" si="155"/>
        <v>#VALUE!</v>
      </c>
      <c r="AI44" s="720" t="e">
        <f t="shared" si="155"/>
        <v>#VALUE!</v>
      </c>
      <c r="AJ44" s="720" t="e">
        <f t="shared" si="155"/>
        <v>#VALUE!</v>
      </c>
      <c r="AK44" s="720" t="e">
        <f t="shared" ref="AK44:BF44" si="156">AK43/AK34-AK33</f>
        <v>#VALUE!</v>
      </c>
      <c r="AL44" s="720" t="e">
        <f t="shared" si="156"/>
        <v>#VALUE!</v>
      </c>
      <c r="AM44" s="720" t="e">
        <f t="shared" si="156"/>
        <v>#VALUE!</v>
      </c>
      <c r="AN44" s="720" t="e">
        <f t="shared" si="156"/>
        <v>#VALUE!</v>
      </c>
      <c r="AO44" s="720" t="e">
        <f t="shared" si="156"/>
        <v>#VALUE!</v>
      </c>
      <c r="AP44" s="720" t="e">
        <f t="shared" si="156"/>
        <v>#VALUE!</v>
      </c>
      <c r="AQ44" s="721" t="e">
        <f t="shared" si="156"/>
        <v>#VALUE!</v>
      </c>
      <c r="AR44" s="719" t="e">
        <f t="shared" si="156"/>
        <v>#VALUE!</v>
      </c>
      <c r="AS44" s="720" t="e">
        <f t="shared" si="156"/>
        <v>#VALUE!</v>
      </c>
      <c r="AT44" s="720" t="e">
        <f t="shared" si="156"/>
        <v>#VALUE!</v>
      </c>
      <c r="AU44" s="720" t="e">
        <f t="shared" si="156"/>
        <v>#VALUE!</v>
      </c>
      <c r="AV44" s="720" t="e">
        <f t="shared" si="156"/>
        <v>#VALUE!</v>
      </c>
      <c r="AW44" s="720" t="e">
        <f t="shared" si="156"/>
        <v>#VALUE!</v>
      </c>
      <c r="AX44" s="720" t="e">
        <f t="shared" si="156"/>
        <v>#VALUE!</v>
      </c>
      <c r="AY44" s="720" t="e">
        <f t="shared" si="156"/>
        <v>#VALUE!</v>
      </c>
      <c r="AZ44" s="720" t="e">
        <f t="shared" si="156"/>
        <v>#VALUE!</v>
      </c>
      <c r="BA44" s="721" t="e">
        <f t="shared" si="156"/>
        <v>#VALUE!</v>
      </c>
      <c r="BB44" s="719" t="e">
        <f t="shared" si="156"/>
        <v>#VALUE!</v>
      </c>
      <c r="BC44" s="720" t="e">
        <f t="shared" si="156"/>
        <v>#VALUE!</v>
      </c>
      <c r="BD44" s="720" t="e">
        <f t="shared" si="156"/>
        <v>#VALUE!</v>
      </c>
      <c r="BE44" s="720" t="e">
        <f t="shared" si="156"/>
        <v>#VALUE!</v>
      </c>
      <c r="BF44" s="720" t="e">
        <f t="shared" si="156"/>
        <v>#VALUE!</v>
      </c>
      <c r="BG44" s="720" t="e">
        <f t="shared" ref="BG44:CE44" si="157">BG43/BG34-BG33</f>
        <v>#VALUE!</v>
      </c>
      <c r="BH44" s="720" t="e">
        <f t="shared" si="157"/>
        <v>#VALUE!</v>
      </c>
      <c r="BI44" s="720" t="e">
        <f t="shared" si="157"/>
        <v>#VALUE!</v>
      </c>
      <c r="BJ44" s="720" t="e">
        <f t="shared" si="157"/>
        <v>#VALUE!</v>
      </c>
      <c r="BK44" s="721" t="e">
        <f t="shared" si="157"/>
        <v>#VALUE!</v>
      </c>
      <c r="BL44" s="719" t="e">
        <f t="shared" si="157"/>
        <v>#VALUE!</v>
      </c>
      <c r="BM44" s="720" t="e">
        <f t="shared" si="157"/>
        <v>#VALUE!</v>
      </c>
      <c r="BN44" s="720" t="e">
        <f t="shared" si="157"/>
        <v>#VALUE!</v>
      </c>
      <c r="BO44" s="720" t="e">
        <f t="shared" si="157"/>
        <v>#VALUE!</v>
      </c>
      <c r="BP44" s="720" t="e">
        <f t="shared" si="157"/>
        <v>#VALUE!</v>
      </c>
      <c r="BQ44" s="720" t="e">
        <f t="shared" si="157"/>
        <v>#VALUE!</v>
      </c>
      <c r="BR44" s="720" t="e">
        <f t="shared" si="157"/>
        <v>#VALUE!</v>
      </c>
      <c r="BS44" s="720" t="e">
        <f t="shared" si="157"/>
        <v>#VALUE!</v>
      </c>
      <c r="BT44" s="720" t="e">
        <f t="shared" si="157"/>
        <v>#VALUE!</v>
      </c>
      <c r="BU44" s="721" t="e">
        <f t="shared" si="157"/>
        <v>#VALUE!</v>
      </c>
      <c r="BV44" s="719" t="e">
        <f t="shared" si="157"/>
        <v>#VALUE!</v>
      </c>
      <c r="BW44" s="720" t="e">
        <f t="shared" si="157"/>
        <v>#VALUE!</v>
      </c>
      <c r="BX44" s="720" t="e">
        <f t="shared" si="157"/>
        <v>#VALUE!</v>
      </c>
      <c r="BY44" s="720" t="e">
        <f t="shared" si="157"/>
        <v>#VALUE!</v>
      </c>
      <c r="BZ44" s="720" t="e">
        <f t="shared" si="157"/>
        <v>#VALUE!</v>
      </c>
      <c r="CA44" s="720" t="e">
        <f t="shared" si="157"/>
        <v>#VALUE!</v>
      </c>
      <c r="CB44" s="720" t="e">
        <f t="shared" si="157"/>
        <v>#VALUE!</v>
      </c>
      <c r="CC44" s="720" t="e">
        <f t="shared" si="157"/>
        <v>#VALUE!</v>
      </c>
      <c r="CD44" s="720" t="e">
        <f t="shared" si="157"/>
        <v>#VALUE!</v>
      </c>
      <c r="CE44" s="721" t="e">
        <f t="shared" si="157"/>
        <v>#VALUE!</v>
      </c>
    </row>
    <row r="45" spans="1:156" s="56" customFormat="1" ht="14.25" customHeight="1">
      <c r="A45" s="1194"/>
      <c r="B45" s="1195"/>
      <c r="C45" s="1195"/>
      <c r="D45" s="719" t="e">
        <f t="shared" ref="D45:AI45" si="158">D48/D34-D9/Fae</f>
        <v>#VALUE!</v>
      </c>
      <c r="E45" s="720" t="e">
        <f t="shared" si="158"/>
        <v>#VALUE!</v>
      </c>
      <c r="F45" s="720" t="e">
        <f t="shared" si="158"/>
        <v>#VALUE!</v>
      </c>
      <c r="G45" s="720" t="e">
        <f t="shared" si="158"/>
        <v>#VALUE!</v>
      </c>
      <c r="H45" s="720" t="e">
        <f t="shared" si="158"/>
        <v>#VALUE!</v>
      </c>
      <c r="I45" s="720" t="e">
        <f t="shared" si="158"/>
        <v>#VALUE!</v>
      </c>
      <c r="J45" s="720" t="e">
        <f t="shared" si="158"/>
        <v>#VALUE!</v>
      </c>
      <c r="K45" s="720" t="e">
        <f t="shared" si="158"/>
        <v>#VALUE!</v>
      </c>
      <c r="L45" s="720" t="e">
        <f t="shared" si="158"/>
        <v>#VALUE!</v>
      </c>
      <c r="M45" s="721" t="e">
        <f t="shared" si="158"/>
        <v>#VALUE!</v>
      </c>
      <c r="N45" s="719" t="e">
        <f t="shared" si="158"/>
        <v>#VALUE!</v>
      </c>
      <c r="O45" s="720" t="e">
        <f t="shared" si="158"/>
        <v>#VALUE!</v>
      </c>
      <c r="P45" s="720" t="e">
        <f t="shared" si="158"/>
        <v>#VALUE!</v>
      </c>
      <c r="Q45" s="720" t="e">
        <f t="shared" si="158"/>
        <v>#VALUE!</v>
      </c>
      <c r="R45" s="720" t="e">
        <f t="shared" si="158"/>
        <v>#VALUE!</v>
      </c>
      <c r="S45" s="720" t="e">
        <f t="shared" si="158"/>
        <v>#VALUE!</v>
      </c>
      <c r="T45" s="720" t="e">
        <f t="shared" si="158"/>
        <v>#VALUE!</v>
      </c>
      <c r="U45" s="720" t="e">
        <f t="shared" si="158"/>
        <v>#VALUE!</v>
      </c>
      <c r="V45" s="720" t="e">
        <f t="shared" si="158"/>
        <v>#VALUE!</v>
      </c>
      <c r="W45" s="721" t="e">
        <f t="shared" si="158"/>
        <v>#VALUE!</v>
      </c>
      <c r="X45" s="719" t="e">
        <f t="shared" si="158"/>
        <v>#VALUE!</v>
      </c>
      <c r="Y45" s="720" t="e">
        <f t="shared" si="158"/>
        <v>#VALUE!</v>
      </c>
      <c r="Z45" s="720" t="e">
        <f t="shared" si="158"/>
        <v>#VALUE!</v>
      </c>
      <c r="AA45" s="720" t="e">
        <f t="shared" si="158"/>
        <v>#VALUE!</v>
      </c>
      <c r="AB45" s="720" t="e">
        <f t="shared" si="158"/>
        <v>#VALUE!</v>
      </c>
      <c r="AC45" s="720" t="e">
        <f t="shared" si="158"/>
        <v>#VALUE!</v>
      </c>
      <c r="AD45" s="720" t="e">
        <f t="shared" si="158"/>
        <v>#VALUE!</v>
      </c>
      <c r="AE45" s="720" t="e">
        <f t="shared" si="158"/>
        <v>#VALUE!</v>
      </c>
      <c r="AF45" s="720" t="e">
        <f t="shared" si="158"/>
        <v>#VALUE!</v>
      </c>
      <c r="AG45" s="721" t="e">
        <f t="shared" si="158"/>
        <v>#VALUE!</v>
      </c>
      <c r="AH45" s="719" t="e">
        <f t="shared" si="158"/>
        <v>#VALUE!</v>
      </c>
      <c r="AI45" s="720" t="e">
        <f t="shared" si="158"/>
        <v>#VALUE!</v>
      </c>
      <c r="AJ45" s="720" t="e">
        <f t="shared" ref="AJ45:BO45" si="159">AJ48/AJ34-AJ9/Fae</f>
        <v>#VALUE!</v>
      </c>
      <c r="AK45" s="720" t="e">
        <f t="shared" si="159"/>
        <v>#VALUE!</v>
      </c>
      <c r="AL45" s="720" t="e">
        <f t="shared" si="159"/>
        <v>#VALUE!</v>
      </c>
      <c r="AM45" s="720" t="e">
        <f t="shared" si="159"/>
        <v>#VALUE!</v>
      </c>
      <c r="AN45" s="720" t="e">
        <f t="shared" si="159"/>
        <v>#VALUE!</v>
      </c>
      <c r="AO45" s="720" t="e">
        <f t="shared" si="159"/>
        <v>#VALUE!</v>
      </c>
      <c r="AP45" s="720" t="e">
        <f t="shared" si="159"/>
        <v>#VALUE!</v>
      </c>
      <c r="AQ45" s="721" t="e">
        <f t="shared" si="159"/>
        <v>#VALUE!</v>
      </c>
      <c r="AR45" s="719" t="e">
        <f t="shared" si="159"/>
        <v>#VALUE!</v>
      </c>
      <c r="AS45" s="720" t="e">
        <f t="shared" si="159"/>
        <v>#VALUE!</v>
      </c>
      <c r="AT45" s="720" t="e">
        <f t="shared" si="159"/>
        <v>#VALUE!</v>
      </c>
      <c r="AU45" s="720" t="e">
        <f t="shared" si="159"/>
        <v>#VALUE!</v>
      </c>
      <c r="AV45" s="720" t="e">
        <f t="shared" si="159"/>
        <v>#VALUE!</v>
      </c>
      <c r="AW45" s="720" t="e">
        <f t="shared" si="159"/>
        <v>#VALUE!</v>
      </c>
      <c r="AX45" s="720" t="e">
        <f t="shared" si="159"/>
        <v>#VALUE!</v>
      </c>
      <c r="AY45" s="720" t="e">
        <f t="shared" si="159"/>
        <v>#VALUE!</v>
      </c>
      <c r="AZ45" s="720" t="e">
        <f t="shared" si="159"/>
        <v>#VALUE!</v>
      </c>
      <c r="BA45" s="721" t="e">
        <f t="shared" si="159"/>
        <v>#VALUE!</v>
      </c>
      <c r="BB45" s="719" t="e">
        <f t="shared" si="159"/>
        <v>#VALUE!</v>
      </c>
      <c r="BC45" s="720" t="e">
        <f t="shared" si="159"/>
        <v>#VALUE!</v>
      </c>
      <c r="BD45" s="720" t="e">
        <f t="shared" si="159"/>
        <v>#VALUE!</v>
      </c>
      <c r="BE45" s="720" t="e">
        <f t="shared" si="159"/>
        <v>#VALUE!</v>
      </c>
      <c r="BF45" s="720" t="e">
        <f t="shared" si="159"/>
        <v>#VALUE!</v>
      </c>
      <c r="BG45" s="720" t="e">
        <f t="shared" si="159"/>
        <v>#VALUE!</v>
      </c>
      <c r="BH45" s="720" t="e">
        <f t="shared" si="159"/>
        <v>#VALUE!</v>
      </c>
      <c r="BI45" s="720" t="e">
        <f t="shared" si="159"/>
        <v>#VALUE!</v>
      </c>
      <c r="BJ45" s="720" t="e">
        <f t="shared" si="159"/>
        <v>#VALUE!</v>
      </c>
      <c r="BK45" s="721" t="e">
        <f t="shared" si="159"/>
        <v>#VALUE!</v>
      </c>
      <c r="BL45" s="719" t="e">
        <f t="shared" si="159"/>
        <v>#VALUE!</v>
      </c>
      <c r="BM45" s="720" t="e">
        <f t="shared" si="159"/>
        <v>#VALUE!</v>
      </c>
      <c r="BN45" s="720" t="e">
        <f t="shared" si="159"/>
        <v>#VALUE!</v>
      </c>
      <c r="BO45" s="720" t="e">
        <f t="shared" si="159"/>
        <v>#VALUE!</v>
      </c>
      <c r="BP45" s="720" t="e">
        <f t="shared" ref="BP45:CE45" si="160">BP48/BP34-BP9/Fae</f>
        <v>#VALUE!</v>
      </c>
      <c r="BQ45" s="720" t="e">
        <f t="shared" si="160"/>
        <v>#VALUE!</v>
      </c>
      <c r="BR45" s="720" t="e">
        <f t="shared" si="160"/>
        <v>#VALUE!</v>
      </c>
      <c r="BS45" s="720" t="e">
        <f t="shared" si="160"/>
        <v>#VALUE!</v>
      </c>
      <c r="BT45" s="720" t="e">
        <f t="shared" si="160"/>
        <v>#VALUE!</v>
      </c>
      <c r="BU45" s="721" t="e">
        <f t="shared" si="160"/>
        <v>#VALUE!</v>
      </c>
      <c r="BV45" s="719" t="e">
        <f t="shared" si="160"/>
        <v>#VALUE!</v>
      </c>
      <c r="BW45" s="720" t="e">
        <f t="shared" si="160"/>
        <v>#VALUE!</v>
      </c>
      <c r="BX45" s="720" t="e">
        <f t="shared" si="160"/>
        <v>#VALUE!</v>
      </c>
      <c r="BY45" s="720" t="e">
        <f t="shared" si="160"/>
        <v>#VALUE!</v>
      </c>
      <c r="BZ45" s="720" t="e">
        <f t="shared" si="160"/>
        <v>#VALUE!</v>
      </c>
      <c r="CA45" s="720" t="e">
        <f t="shared" si="160"/>
        <v>#VALUE!</v>
      </c>
      <c r="CB45" s="720" t="e">
        <f t="shared" si="160"/>
        <v>#VALUE!</v>
      </c>
      <c r="CC45" s="720" t="e">
        <f t="shared" si="160"/>
        <v>#VALUE!</v>
      </c>
      <c r="CD45" s="720" t="e">
        <f t="shared" si="160"/>
        <v>#VALUE!</v>
      </c>
      <c r="CE45" s="721" t="e">
        <f t="shared" si="160"/>
        <v>#VALUE!</v>
      </c>
      <c r="CF45" s="57"/>
      <c r="CM45" s="82"/>
      <c r="CN45" s="57"/>
      <c r="CU45" s="82"/>
      <c r="CV45" s="57"/>
      <c r="DC45" s="82"/>
      <c r="DD45" s="57"/>
      <c r="DK45" s="82"/>
      <c r="DL45" s="57"/>
      <c r="DS45" s="82"/>
      <c r="DT45" s="57"/>
      <c r="EA45" s="82"/>
      <c r="EB45" s="57"/>
      <c r="EI45" s="82"/>
      <c r="EJ45" s="57"/>
      <c r="EQ45" s="82"/>
      <c r="ER45" s="57"/>
      <c r="EY45" s="82"/>
      <c r="EZ45" s="57"/>
    </row>
    <row r="46" spans="1:156" s="56" customFormat="1" ht="14.25" customHeight="1">
      <c r="A46" s="1194"/>
      <c r="B46" s="1195"/>
      <c r="C46" s="1195"/>
      <c r="D46" s="719" t="e">
        <f t="shared" ref="D46" si="161">(-4*D35^2-2*D38*D33*D34+2*D39*D34*D33^1.5)/(D38*D33-D39*SQRT(D33)-D40*SQRT(D33))</f>
        <v>#VALUE!</v>
      </c>
      <c r="E46" s="720" t="e">
        <f t="shared" ref="E46:AJ46" si="162">(-4*E35^2-2*E38*E33*E34+2*E39*E34*E33^1.5)/(E38*E33-E39*SQRT(E33)-E40*SQRT(E33))</f>
        <v>#VALUE!</v>
      </c>
      <c r="F46" s="720" t="e">
        <f t="shared" si="162"/>
        <v>#VALUE!</v>
      </c>
      <c r="G46" s="720" t="e">
        <f t="shared" si="162"/>
        <v>#VALUE!</v>
      </c>
      <c r="H46" s="720" t="e">
        <f t="shared" si="162"/>
        <v>#VALUE!</v>
      </c>
      <c r="I46" s="720" t="e">
        <f t="shared" si="162"/>
        <v>#VALUE!</v>
      </c>
      <c r="J46" s="720" t="e">
        <f t="shared" si="162"/>
        <v>#VALUE!</v>
      </c>
      <c r="K46" s="720" t="e">
        <f t="shared" si="162"/>
        <v>#VALUE!</v>
      </c>
      <c r="L46" s="720" t="e">
        <f t="shared" si="162"/>
        <v>#VALUE!</v>
      </c>
      <c r="M46" s="721" t="e">
        <f t="shared" si="162"/>
        <v>#VALUE!</v>
      </c>
      <c r="N46" s="719" t="e">
        <f t="shared" si="162"/>
        <v>#VALUE!</v>
      </c>
      <c r="O46" s="720" t="e">
        <f t="shared" si="162"/>
        <v>#VALUE!</v>
      </c>
      <c r="P46" s="720" t="e">
        <f t="shared" si="162"/>
        <v>#VALUE!</v>
      </c>
      <c r="Q46" s="720" t="e">
        <f t="shared" si="162"/>
        <v>#VALUE!</v>
      </c>
      <c r="R46" s="720" t="e">
        <f t="shared" si="162"/>
        <v>#VALUE!</v>
      </c>
      <c r="S46" s="720" t="e">
        <f t="shared" si="162"/>
        <v>#VALUE!</v>
      </c>
      <c r="T46" s="720" t="e">
        <f t="shared" si="162"/>
        <v>#VALUE!</v>
      </c>
      <c r="U46" s="720" t="e">
        <f t="shared" si="162"/>
        <v>#VALUE!</v>
      </c>
      <c r="V46" s="720" t="e">
        <f t="shared" si="162"/>
        <v>#VALUE!</v>
      </c>
      <c r="W46" s="721" t="e">
        <f t="shared" si="162"/>
        <v>#VALUE!</v>
      </c>
      <c r="X46" s="719" t="e">
        <f t="shared" si="162"/>
        <v>#VALUE!</v>
      </c>
      <c r="Y46" s="720" t="e">
        <f t="shared" si="162"/>
        <v>#VALUE!</v>
      </c>
      <c r="Z46" s="720" t="e">
        <f t="shared" si="162"/>
        <v>#VALUE!</v>
      </c>
      <c r="AA46" s="720" t="e">
        <f t="shared" si="162"/>
        <v>#VALUE!</v>
      </c>
      <c r="AB46" s="720" t="e">
        <f t="shared" si="162"/>
        <v>#VALUE!</v>
      </c>
      <c r="AC46" s="720" t="e">
        <f t="shared" si="162"/>
        <v>#VALUE!</v>
      </c>
      <c r="AD46" s="720" t="e">
        <f t="shared" si="162"/>
        <v>#VALUE!</v>
      </c>
      <c r="AE46" s="720" t="e">
        <f t="shared" si="162"/>
        <v>#VALUE!</v>
      </c>
      <c r="AF46" s="720" t="e">
        <f t="shared" si="162"/>
        <v>#VALUE!</v>
      </c>
      <c r="AG46" s="721" t="e">
        <f t="shared" si="162"/>
        <v>#VALUE!</v>
      </c>
      <c r="AH46" s="719" t="e">
        <f t="shared" si="162"/>
        <v>#VALUE!</v>
      </c>
      <c r="AI46" s="720" t="e">
        <f t="shared" si="162"/>
        <v>#VALUE!</v>
      </c>
      <c r="AJ46" s="720" t="e">
        <f t="shared" si="162"/>
        <v>#VALUE!</v>
      </c>
      <c r="AK46" s="720" t="e">
        <f t="shared" ref="AK46:BF46" si="163">(-4*AK35^2-2*AK38*AK33*AK34+2*AK39*AK34*AK33^1.5)/(AK38*AK33-AK39*SQRT(AK33)-AK40*SQRT(AK33))</f>
        <v>#VALUE!</v>
      </c>
      <c r="AL46" s="720" t="e">
        <f t="shared" si="163"/>
        <v>#VALUE!</v>
      </c>
      <c r="AM46" s="720" t="e">
        <f t="shared" si="163"/>
        <v>#VALUE!</v>
      </c>
      <c r="AN46" s="720" t="e">
        <f t="shared" si="163"/>
        <v>#VALUE!</v>
      </c>
      <c r="AO46" s="720" t="e">
        <f t="shared" si="163"/>
        <v>#VALUE!</v>
      </c>
      <c r="AP46" s="720" t="e">
        <f t="shared" si="163"/>
        <v>#VALUE!</v>
      </c>
      <c r="AQ46" s="721" t="e">
        <f t="shared" si="163"/>
        <v>#VALUE!</v>
      </c>
      <c r="AR46" s="719" t="e">
        <f t="shared" si="163"/>
        <v>#VALUE!</v>
      </c>
      <c r="AS46" s="720" t="e">
        <f t="shared" si="163"/>
        <v>#VALUE!</v>
      </c>
      <c r="AT46" s="720" t="e">
        <f t="shared" si="163"/>
        <v>#VALUE!</v>
      </c>
      <c r="AU46" s="720" t="e">
        <f t="shared" si="163"/>
        <v>#VALUE!</v>
      </c>
      <c r="AV46" s="720" t="e">
        <f t="shared" si="163"/>
        <v>#VALUE!</v>
      </c>
      <c r="AW46" s="720" t="e">
        <f t="shared" si="163"/>
        <v>#VALUE!</v>
      </c>
      <c r="AX46" s="720" t="e">
        <f t="shared" si="163"/>
        <v>#VALUE!</v>
      </c>
      <c r="AY46" s="720" t="e">
        <f t="shared" si="163"/>
        <v>#VALUE!</v>
      </c>
      <c r="AZ46" s="720" t="e">
        <f t="shared" si="163"/>
        <v>#VALUE!</v>
      </c>
      <c r="BA46" s="721" t="e">
        <f t="shared" si="163"/>
        <v>#VALUE!</v>
      </c>
      <c r="BB46" s="719" t="e">
        <f t="shared" si="163"/>
        <v>#VALUE!</v>
      </c>
      <c r="BC46" s="720" t="e">
        <f t="shared" si="163"/>
        <v>#VALUE!</v>
      </c>
      <c r="BD46" s="720" t="e">
        <f t="shared" si="163"/>
        <v>#VALUE!</v>
      </c>
      <c r="BE46" s="720" t="e">
        <f t="shared" si="163"/>
        <v>#VALUE!</v>
      </c>
      <c r="BF46" s="720" t="e">
        <f t="shared" si="163"/>
        <v>#VALUE!</v>
      </c>
      <c r="BG46" s="720" t="e">
        <f t="shared" ref="BG46:CE46" si="164">(-4*BG35^2-2*BG38*BG33*BG34+2*BG39*BG34*BG33^1.5)/(BG38*BG33-BG39*SQRT(BG33)-BG40*SQRT(BG33))</f>
        <v>#VALUE!</v>
      </c>
      <c r="BH46" s="720" t="e">
        <f t="shared" si="164"/>
        <v>#VALUE!</v>
      </c>
      <c r="BI46" s="720" t="e">
        <f t="shared" si="164"/>
        <v>#VALUE!</v>
      </c>
      <c r="BJ46" s="720" t="e">
        <f t="shared" si="164"/>
        <v>#VALUE!</v>
      </c>
      <c r="BK46" s="721" t="e">
        <f t="shared" si="164"/>
        <v>#VALUE!</v>
      </c>
      <c r="BL46" s="719" t="e">
        <f t="shared" si="164"/>
        <v>#VALUE!</v>
      </c>
      <c r="BM46" s="720" t="e">
        <f t="shared" si="164"/>
        <v>#VALUE!</v>
      </c>
      <c r="BN46" s="720" t="e">
        <f t="shared" si="164"/>
        <v>#VALUE!</v>
      </c>
      <c r="BO46" s="720" t="e">
        <f t="shared" si="164"/>
        <v>#VALUE!</v>
      </c>
      <c r="BP46" s="720" t="e">
        <f t="shared" si="164"/>
        <v>#VALUE!</v>
      </c>
      <c r="BQ46" s="720" t="e">
        <f t="shared" si="164"/>
        <v>#VALUE!</v>
      </c>
      <c r="BR46" s="720" t="e">
        <f t="shared" si="164"/>
        <v>#VALUE!</v>
      </c>
      <c r="BS46" s="720" t="e">
        <f t="shared" si="164"/>
        <v>#VALUE!</v>
      </c>
      <c r="BT46" s="720" t="e">
        <f t="shared" si="164"/>
        <v>#VALUE!</v>
      </c>
      <c r="BU46" s="721" t="e">
        <f t="shared" si="164"/>
        <v>#VALUE!</v>
      </c>
      <c r="BV46" s="719" t="e">
        <f t="shared" si="164"/>
        <v>#VALUE!</v>
      </c>
      <c r="BW46" s="720" t="e">
        <f t="shared" si="164"/>
        <v>#VALUE!</v>
      </c>
      <c r="BX46" s="720" t="e">
        <f t="shared" si="164"/>
        <v>#VALUE!</v>
      </c>
      <c r="BY46" s="720" t="e">
        <f t="shared" si="164"/>
        <v>#VALUE!</v>
      </c>
      <c r="BZ46" s="720" t="e">
        <f t="shared" si="164"/>
        <v>#VALUE!</v>
      </c>
      <c r="CA46" s="720" t="e">
        <f t="shared" si="164"/>
        <v>#VALUE!</v>
      </c>
      <c r="CB46" s="720" t="e">
        <f t="shared" si="164"/>
        <v>#VALUE!</v>
      </c>
      <c r="CC46" s="720" t="e">
        <f t="shared" si="164"/>
        <v>#VALUE!</v>
      </c>
      <c r="CD46" s="720" t="e">
        <f t="shared" si="164"/>
        <v>#VALUE!</v>
      </c>
      <c r="CE46" s="721" t="e">
        <f t="shared" si="164"/>
        <v>#VALUE!</v>
      </c>
    </row>
    <row r="47" spans="1:156" s="56" customFormat="1" ht="14.25" customHeight="1">
      <c r="A47" s="1194"/>
      <c r="B47" s="1195"/>
      <c r="C47" s="1195"/>
      <c r="D47" s="719" t="e">
        <f t="shared" ref="D47:AI47" si="165">((D38*SQRT(D9/Fae)-2*D39*D9^2/Fae^2)*D34*D34)/(D38*SQRT(D9/Fae)-D39-D40)</f>
        <v>#VALUE!</v>
      </c>
      <c r="E47" s="720" t="e">
        <f t="shared" si="165"/>
        <v>#VALUE!</v>
      </c>
      <c r="F47" s="720" t="e">
        <f t="shared" si="165"/>
        <v>#VALUE!</v>
      </c>
      <c r="G47" s="720" t="e">
        <f t="shared" si="165"/>
        <v>#VALUE!</v>
      </c>
      <c r="H47" s="720" t="e">
        <f t="shared" si="165"/>
        <v>#VALUE!</v>
      </c>
      <c r="I47" s="720" t="e">
        <f t="shared" si="165"/>
        <v>#VALUE!</v>
      </c>
      <c r="J47" s="720" t="e">
        <f t="shared" si="165"/>
        <v>#VALUE!</v>
      </c>
      <c r="K47" s="720" t="e">
        <f t="shared" si="165"/>
        <v>#VALUE!</v>
      </c>
      <c r="L47" s="720" t="e">
        <f t="shared" si="165"/>
        <v>#VALUE!</v>
      </c>
      <c r="M47" s="721" t="e">
        <f t="shared" si="165"/>
        <v>#VALUE!</v>
      </c>
      <c r="N47" s="719" t="e">
        <f t="shared" si="165"/>
        <v>#VALUE!</v>
      </c>
      <c r="O47" s="720" t="e">
        <f t="shared" si="165"/>
        <v>#VALUE!</v>
      </c>
      <c r="P47" s="720" t="e">
        <f t="shared" si="165"/>
        <v>#VALUE!</v>
      </c>
      <c r="Q47" s="720" t="e">
        <f t="shared" si="165"/>
        <v>#VALUE!</v>
      </c>
      <c r="R47" s="720" t="e">
        <f t="shared" si="165"/>
        <v>#VALUE!</v>
      </c>
      <c r="S47" s="720" t="e">
        <f t="shared" si="165"/>
        <v>#VALUE!</v>
      </c>
      <c r="T47" s="720" t="e">
        <f t="shared" si="165"/>
        <v>#VALUE!</v>
      </c>
      <c r="U47" s="720" t="e">
        <f t="shared" si="165"/>
        <v>#VALUE!</v>
      </c>
      <c r="V47" s="720" t="e">
        <f t="shared" si="165"/>
        <v>#VALUE!</v>
      </c>
      <c r="W47" s="721" t="e">
        <f t="shared" si="165"/>
        <v>#VALUE!</v>
      </c>
      <c r="X47" s="719" t="e">
        <f t="shared" si="165"/>
        <v>#VALUE!</v>
      </c>
      <c r="Y47" s="720" t="e">
        <f t="shared" si="165"/>
        <v>#VALUE!</v>
      </c>
      <c r="Z47" s="720" t="e">
        <f t="shared" si="165"/>
        <v>#VALUE!</v>
      </c>
      <c r="AA47" s="720" t="e">
        <f t="shared" si="165"/>
        <v>#VALUE!</v>
      </c>
      <c r="AB47" s="720" t="e">
        <f t="shared" si="165"/>
        <v>#VALUE!</v>
      </c>
      <c r="AC47" s="720" t="e">
        <f t="shared" si="165"/>
        <v>#VALUE!</v>
      </c>
      <c r="AD47" s="720" t="e">
        <f t="shared" si="165"/>
        <v>#VALUE!</v>
      </c>
      <c r="AE47" s="720" t="e">
        <f t="shared" si="165"/>
        <v>#VALUE!</v>
      </c>
      <c r="AF47" s="720" t="e">
        <f t="shared" si="165"/>
        <v>#VALUE!</v>
      </c>
      <c r="AG47" s="721" t="e">
        <f t="shared" si="165"/>
        <v>#VALUE!</v>
      </c>
      <c r="AH47" s="719" t="e">
        <f t="shared" si="165"/>
        <v>#VALUE!</v>
      </c>
      <c r="AI47" s="720" t="e">
        <f t="shared" si="165"/>
        <v>#VALUE!</v>
      </c>
      <c r="AJ47" s="720" t="e">
        <f t="shared" ref="AJ47:BO47" si="166">((AJ38*SQRT(AJ9/Fae)-2*AJ39*AJ9^2/Fae^2)*AJ34*AJ34)/(AJ38*SQRT(AJ9/Fae)-AJ39-AJ40)</f>
        <v>#VALUE!</v>
      </c>
      <c r="AK47" s="720" t="e">
        <f t="shared" si="166"/>
        <v>#VALUE!</v>
      </c>
      <c r="AL47" s="720" t="e">
        <f t="shared" si="166"/>
        <v>#VALUE!</v>
      </c>
      <c r="AM47" s="720" t="e">
        <f t="shared" si="166"/>
        <v>#VALUE!</v>
      </c>
      <c r="AN47" s="720" t="e">
        <f t="shared" si="166"/>
        <v>#VALUE!</v>
      </c>
      <c r="AO47" s="720" t="e">
        <f t="shared" si="166"/>
        <v>#VALUE!</v>
      </c>
      <c r="AP47" s="720" t="e">
        <f t="shared" si="166"/>
        <v>#VALUE!</v>
      </c>
      <c r="AQ47" s="721" t="e">
        <f t="shared" si="166"/>
        <v>#VALUE!</v>
      </c>
      <c r="AR47" s="719" t="e">
        <f t="shared" si="166"/>
        <v>#VALUE!</v>
      </c>
      <c r="AS47" s="720" t="e">
        <f t="shared" si="166"/>
        <v>#VALUE!</v>
      </c>
      <c r="AT47" s="720" t="e">
        <f t="shared" si="166"/>
        <v>#VALUE!</v>
      </c>
      <c r="AU47" s="720" t="e">
        <f t="shared" si="166"/>
        <v>#VALUE!</v>
      </c>
      <c r="AV47" s="720" t="e">
        <f t="shared" si="166"/>
        <v>#VALUE!</v>
      </c>
      <c r="AW47" s="720" t="e">
        <f t="shared" si="166"/>
        <v>#VALUE!</v>
      </c>
      <c r="AX47" s="720" t="e">
        <f t="shared" si="166"/>
        <v>#VALUE!</v>
      </c>
      <c r="AY47" s="720" t="e">
        <f t="shared" si="166"/>
        <v>#VALUE!</v>
      </c>
      <c r="AZ47" s="720" t="e">
        <f t="shared" si="166"/>
        <v>#VALUE!</v>
      </c>
      <c r="BA47" s="721" t="e">
        <f t="shared" si="166"/>
        <v>#VALUE!</v>
      </c>
      <c r="BB47" s="719" t="e">
        <f t="shared" si="166"/>
        <v>#VALUE!</v>
      </c>
      <c r="BC47" s="720" t="e">
        <f t="shared" si="166"/>
        <v>#VALUE!</v>
      </c>
      <c r="BD47" s="720" t="e">
        <f t="shared" si="166"/>
        <v>#VALUE!</v>
      </c>
      <c r="BE47" s="720" t="e">
        <f t="shared" si="166"/>
        <v>#VALUE!</v>
      </c>
      <c r="BF47" s="720" t="e">
        <f t="shared" si="166"/>
        <v>#VALUE!</v>
      </c>
      <c r="BG47" s="720" t="e">
        <f t="shared" si="166"/>
        <v>#VALUE!</v>
      </c>
      <c r="BH47" s="720" t="e">
        <f t="shared" si="166"/>
        <v>#VALUE!</v>
      </c>
      <c r="BI47" s="720" t="e">
        <f t="shared" si="166"/>
        <v>#VALUE!</v>
      </c>
      <c r="BJ47" s="720" t="e">
        <f t="shared" si="166"/>
        <v>#VALUE!</v>
      </c>
      <c r="BK47" s="721" t="e">
        <f t="shared" si="166"/>
        <v>#VALUE!</v>
      </c>
      <c r="BL47" s="719" t="e">
        <f t="shared" si="166"/>
        <v>#VALUE!</v>
      </c>
      <c r="BM47" s="720" t="e">
        <f t="shared" si="166"/>
        <v>#VALUE!</v>
      </c>
      <c r="BN47" s="720" t="e">
        <f t="shared" si="166"/>
        <v>#VALUE!</v>
      </c>
      <c r="BO47" s="720" t="e">
        <f t="shared" si="166"/>
        <v>#VALUE!</v>
      </c>
      <c r="BP47" s="720" t="e">
        <f t="shared" ref="BP47:CE47" si="167">((BP38*SQRT(BP9/Fae)-2*BP39*BP9^2/Fae^2)*BP34*BP34)/(BP38*SQRT(BP9/Fae)-BP39-BP40)</f>
        <v>#VALUE!</v>
      </c>
      <c r="BQ47" s="720" t="e">
        <f t="shared" si="167"/>
        <v>#VALUE!</v>
      </c>
      <c r="BR47" s="720" t="e">
        <f t="shared" si="167"/>
        <v>#VALUE!</v>
      </c>
      <c r="BS47" s="720" t="e">
        <f t="shared" si="167"/>
        <v>#VALUE!</v>
      </c>
      <c r="BT47" s="720" t="e">
        <f t="shared" si="167"/>
        <v>#VALUE!</v>
      </c>
      <c r="BU47" s="721" t="e">
        <f t="shared" si="167"/>
        <v>#VALUE!</v>
      </c>
      <c r="BV47" s="719" t="e">
        <f t="shared" si="167"/>
        <v>#VALUE!</v>
      </c>
      <c r="BW47" s="720" t="e">
        <f t="shared" si="167"/>
        <v>#VALUE!</v>
      </c>
      <c r="BX47" s="720" t="e">
        <f t="shared" si="167"/>
        <v>#VALUE!</v>
      </c>
      <c r="BY47" s="720" t="e">
        <f t="shared" si="167"/>
        <v>#VALUE!</v>
      </c>
      <c r="BZ47" s="720" t="e">
        <f t="shared" si="167"/>
        <v>#VALUE!</v>
      </c>
      <c r="CA47" s="720" t="e">
        <f t="shared" si="167"/>
        <v>#VALUE!</v>
      </c>
      <c r="CB47" s="720" t="e">
        <f t="shared" si="167"/>
        <v>#VALUE!</v>
      </c>
      <c r="CC47" s="720" t="e">
        <f t="shared" si="167"/>
        <v>#VALUE!</v>
      </c>
      <c r="CD47" s="720" t="e">
        <f t="shared" si="167"/>
        <v>#VALUE!</v>
      </c>
      <c r="CE47" s="721" t="e">
        <f t="shared" si="167"/>
        <v>#VALUE!</v>
      </c>
    </row>
    <row r="48" spans="1:156" s="56" customFormat="1" ht="14.25" customHeight="1">
      <c r="A48" s="1194"/>
      <c r="B48" s="1195"/>
      <c r="C48" s="1195"/>
      <c r="D48" s="719" t="e">
        <f t="shared" ref="D48" si="168">-D46/2+SQRT(0.25*D46^2-D47)</f>
        <v>#VALUE!</v>
      </c>
      <c r="E48" s="720" t="e">
        <f t="shared" ref="E48:AJ48" si="169">-E46/2+SQRT(0.25*E46^2-E47)</f>
        <v>#VALUE!</v>
      </c>
      <c r="F48" s="720" t="e">
        <f t="shared" si="169"/>
        <v>#VALUE!</v>
      </c>
      <c r="G48" s="720" t="e">
        <f t="shared" si="169"/>
        <v>#VALUE!</v>
      </c>
      <c r="H48" s="720" t="e">
        <f t="shared" si="169"/>
        <v>#VALUE!</v>
      </c>
      <c r="I48" s="720" t="e">
        <f t="shared" si="169"/>
        <v>#VALUE!</v>
      </c>
      <c r="J48" s="720" t="e">
        <f t="shared" si="169"/>
        <v>#VALUE!</v>
      </c>
      <c r="K48" s="720" t="e">
        <f t="shared" si="169"/>
        <v>#VALUE!</v>
      </c>
      <c r="L48" s="720" t="e">
        <f t="shared" si="169"/>
        <v>#VALUE!</v>
      </c>
      <c r="M48" s="721" t="e">
        <f t="shared" si="169"/>
        <v>#VALUE!</v>
      </c>
      <c r="N48" s="719" t="e">
        <f t="shared" si="169"/>
        <v>#VALUE!</v>
      </c>
      <c r="O48" s="720" t="e">
        <f t="shared" si="169"/>
        <v>#VALUE!</v>
      </c>
      <c r="P48" s="720" t="e">
        <f t="shared" si="169"/>
        <v>#VALUE!</v>
      </c>
      <c r="Q48" s="720" t="e">
        <f t="shared" si="169"/>
        <v>#VALUE!</v>
      </c>
      <c r="R48" s="720" t="e">
        <f t="shared" si="169"/>
        <v>#VALUE!</v>
      </c>
      <c r="S48" s="720" t="e">
        <f t="shared" si="169"/>
        <v>#VALUE!</v>
      </c>
      <c r="T48" s="720" t="e">
        <f t="shared" si="169"/>
        <v>#VALUE!</v>
      </c>
      <c r="U48" s="720" t="e">
        <f t="shared" si="169"/>
        <v>#VALUE!</v>
      </c>
      <c r="V48" s="720" t="e">
        <f t="shared" si="169"/>
        <v>#VALUE!</v>
      </c>
      <c r="W48" s="721" t="e">
        <f t="shared" si="169"/>
        <v>#VALUE!</v>
      </c>
      <c r="X48" s="719" t="e">
        <f t="shared" si="169"/>
        <v>#VALUE!</v>
      </c>
      <c r="Y48" s="720" t="e">
        <f t="shared" si="169"/>
        <v>#VALUE!</v>
      </c>
      <c r="Z48" s="720" t="e">
        <f t="shared" si="169"/>
        <v>#VALUE!</v>
      </c>
      <c r="AA48" s="720" t="e">
        <f t="shared" si="169"/>
        <v>#VALUE!</v>
      </c>
      <c r="AB48" s="720" t="e">
        <f t="shared" si="169"/>
        <v>#VALUE!</v>
      </c>
      <c r="AC48" s="720" t="e">
        <f t="shared" si="169"/>
        <v>#VALUE!</v>
      </c>
      <c r="AD48" s="720" t="e">
        <f t="shared" si="169"/>
        <v>#VALUE!</v>
      </c>
      <c r="AE48" s="720" t="e">
        <f t="shared" si="169"/>
        <v>#VALUE!</v>
      </c>
      <c r="AF48" s="720" t="e">
        <f t="shared" si="169"/>
        <v>#VALUE!</v>
      </c>
      <c r="AG48" s="721" t="e">
        <f t="shared" si="169"/>
        <v>#VALUE!</v>
      </c>
      <c r="AH48" s="719" t="e">
        <f t="shared" si="169"/>
        <v>#VALUE!</v>
      </c>
      <c r="AI48" s="720" t="e">
        <f t="shared" si="169"/>
        <v>#VALUE!</v>
      </c>
      <c r="AJ48" s="720" t="e">
        <f t="shared" si="169"/>
        <v>#VALUE!</v>
      </c>
      <c r="AK48" s="720" t="e">
        <f t="shared" ref="AK48:BF48" si="170">-AK46/2+SQRT(0.25*AK46^2-AK47)</f>
        <v>#VALUE!</v>
      </c>
      <c r="AL48" s="720" t="e">
        <f t="shared" si="170"/>
        <v>#VALUE!</v>
      </c>
      <c r="AM48" s="720" t="e">
        <f t="shared" si="170"/>
        <v>#VALUE!</v>
      </c>
      <c r="AN48" s="720" t="e">
        <f t="shared" si="170"/>
        <v>#VALUE!</v>
      </c>
      <c r="AO48" s="720" t="e">
        <f t="shared" si="170"/>
        <v>#VALUE!</v>
      </c>
      <c r="AP48" s="720" t="e">
        <f t="shared" si="170"/>
        <v>#VALUE!</v>
      </c>
      <c r="AQ48" s="721" t="e">
        <f t="shared" si="170"/>
        <v>#VALUE!</v>
      </c>
      <c r="AR48" s="719" t="e">
        <f t="shared" si="170"/>
        <v>#VALUE!</v>
      </c>
      <c r="AS48" s="720" t="e">
        <f t="shared" si="170"/>
        <v>#VALUE!</v>
      </c>
      <c r="AT48" s="720" t="e">
        <f t="shared" si="170"/>
        <v>#VALUE!</v>
      </c>
      <c r="AU48" s="720" t="e">
        <f t="shared" si="170"/>
        <v>#VALUE!</v>
      </c>
      <c r="AV48" s="720" t="e">
        <f t="shared" si="170"/>
        <v>#VALUE!</v>
      </c>
      <c r="AW48" s="720" t="e">
        <f t="shared" si="170"/>
        <v>#VALUE!</v>
      </c>
      <c r="AX48" s="720" t="e">
        <f t="shared" si="170"/>
        <v>#VALUE!</v>
      </c>
      <c r="AY48" s="720" t="e">
        <f t="shared" si="170"/>
        <v>#VALUE!</v>
      </c>
      <c r="AZ48" s="720" t="e">
        <f t="shared" si="170"/>
        <v>#VALUE!</v>
      </c>
      <c r="BA48" s="721" t="e">
        <f t="shared" si="170"/>
        <v>#VALUE!</v>
      </c>
      <c r="BB48" s="719" t="e">
        <f t="shared" si="170"/>
        <v>#VALUE!</v>
      </c>
      <c r="BC48" s="720" t="e">
        <f t="shared" si="170"/>
        <v>#VALUE!</v>
      </c>
      <c r="BD48" s="720" t="e">
        <f t="shared" si="170"/>
        <v>#VALUE!</v>
      </c>
      <c r="BE48" s="720" t="e">
        <f t="shared" si="170"/>
        <v>#VALUE!</v>
      </c>
      <c r="BF48" s="720" t="e">
        <f t="shared" si="170"/>
        <v>#VALUE!</v>
      </c>
      <c r="BG48" s="720" t="e">
        <f t="shared" ref="BG48:CE48" si="171">-BG46/2+SQRT(0.25*BG46^2-BG47)</f>
        <v>#VALUE!</v>
      </c>
      <c r="BH48" s="720" t="e">
        <f t="shared" si="171"/>
        <v>#VALUE!</v>
      </c>
      <c r="BI48" s="720" t="e">
        <f t="shared" si="171"/>
        <v>#VALUE!</v>
      </c>
      <c r="BJ48" s="720" t="e">
        <f t="shared" si="171"/>
        <v>#VALUE!</v>
      </c>
      <c r="BK48" s="721" t="e">
        <f t="shared" si="171"/>
        <v>#VALUE!</v>
      </c>
      <c r="BL48" s="719" t="e">
        <f t="shared" si="171"/>
        <v>#VALUE!</v>
      </c>
      <c r="BM48" s="720" t="e">
        <f t="shared" si="171"/>
        <v>#VALUE!</v>
      </c>
      <c r="BN48" s="720" t="e">
        <f t="shared" si="171"/>
        <v>#VALUE!</v>
      </c>
      <c r="BO48" s="720" t="e">
        <f t="shared" si="171"/>
        <v>#VALUE!</v>
      </c>
      <c r="BP48" s="720" t="e">
        <f t="shared" si="171"/>
        <v>#VALUE!</v>
      </c>
      <c r="BQ48" s="720" t="e">
        <f t="shared" si="171"/>
        <v>#VALUE!</v>
      </c>
      <c r="BR48" s="720" t="e">
        <f t="shared" si="171"/>
        <v>#VALUE!</v>
      </c>
      <c r="BS48" s="720" t="e">
        <f t="shared" si="171"/>
        <v>#VALUE!</v>
      </c>
      <c r="BT48" s="720" t="e">
        <f t="shared" si="171"/>
        <v>#VALUE!</v>
      </c>
      <c r="BU48" s="721" t="e">
        <f t="shared" si="171"/>
        <v>#VALUE!</v>
      </c>
      <c r="BV48" s="719" t="e">
        <f t="shared" si="171"/>
        <v>#VALUE!</v>
      </c>
      <c r="BW48" s="720" t="e">
        <f t="shared" si="171"/>
        <v>#VALUE!</v>
      </c>
      <c r="BX48" s="720" t="e">
        <f t="shared" si="171"/>
        <v>#VALUE!</v>
      </c>
      <c r="BY48" s="720" t="e">
        <f t="shared" si="171"/>
        <v>#VALUE!</v>
      </c>
      <c r="BZ48" s="720" t="e">
        <f t="shared" si="171"/>
        <v>#VALUE!</v>
      </c>
      <c r="CA48" s="720" t="e">
        <f t="shared" si="171"/>
        <v>#VALUE!</v>
      </c>
      <c r="CB48" s="720" t="e">
        <f t="shared" si="171"/>
        <v>#VALUE!</v>
      </c>
      <c r="CC48" s="720" t="e">
        <f t="shared" si="171"/>
        <v>#VALUE!</v>
      </c>
      <c r="CD48" s="720" t="e">
        <f t="shared" si="171"/>
        <v>#VALUE!</v>
      </c>
      <c r="CE48" s="721" t="e">
        <f t="shared" si="171"/>
        <v>#VALUE!</v>
      </c>
    </row>
    <row r="49" spans="1:83" s="56" customFormat="1" ht="14.25" customHeight="1">
      <c r="A49" s="1194"/>
      <c r="B49" s="1195"/>
      <c r="C49" s="1195"/>
      <c r="D49" s="719" t="e">
        <f t="shared" ref="D49" si="172">D48/D34-D33</f>
        <v>#VALUE!</v>
      </c>
      <c r="E49" s="720" t="e">
        <f t="shared" ref="E49:AJ49" si="173">E48/E34-E33</f>
        <v>#VALUE!</v>
      </c>
      <c r="F49" s="720" t="e">
        <f t="shared" si="173"/>
        <v>#VALUE!</v>
      </c>
      <c r="G49" s="720" t="e">
        <f t="shared" si="173"/>
        <v>#VALUE!</v>
      </c>
      <c r="H49" s="720" t="e">
        <f t="shared" si="173"/>
        <v>#VALUE!</v>
      </c>
      <c r="I49" s="720" t="e">
        <f t="shared" si="173"/>
        <v>#VALUE!</v>
      </c>
      <c r="J49" s="720" t="e">
        <f t="shared" si="173"/>
        <v>#VALUE!</v>
      </c>
      <c r="K49" s="720" t="e">
        <f t="shared" si="173"/>
        <v>#VALUE!</v>
      </c>
      <c r="L49" s="720" t="e">
        <f t="shared" si="173"/>
        <v>#VALUE!</v>
      </c>
      <c r="M49" s="721" t="e">
        <f t="shared" si="173"/>
        <v>#VALUE!</v>
      </c>
      <c r="N49" s="719" t="e">
        <f t="shared" si="173"/>
        <v>#VALUE!</v>
      </c>
      <c r="O49" s="720" t="e">
        <f t="shared" si="173"/>
        <v>#VALUE!</v>
      </c>
      <c r="P49" s="720" t="e">
        <f t="shared" si="173"/>
        <v>#VALUE!</v>
      </c>
      <c r="Q49" s="720" t="e">
        <f t="shared" si="173"/>
        <v>#VALUE!</v>
      </c>
      <c r="R49" s="720" t="e">
        <f t="shared" si="173"/>
        <v>#VALUE!</v>
      </c>
      <c r="S49" s="720" t="e">
        <f t="shared" si="173"/>
        <v>#VALUE!</v>
      </c>
      <c r="T49" s="720" t="e">
        <f t="shared" si="173"/>
        <v>#VALUE!</v>
      </c>
      <c r="U49" s="720" t="e">
        <f t="shared" si="173"/>
        <v>#VALUE!</v>
      </c>
      <c r="V49" s="720" t="e">
        <f t="shared" si="173"/>
        <v>#VALUE!</v>
      </c>
      <c r="W49" s="721" t="e">
        <f t="shared" si="173"/>
        <v>#VALUE!</v>
      </c>
      <c r="X49" s="719" t="e">
        <f t="shared" si="173"/>
        <v>#VALUE!</v>
      </c>
      <c r="Y49" s="720" t="e">
        <f t="shared" si="173"/>
        <v>#VALUE!</v>
      </c>
      <c r="Z49" s="720" t="e">
        <f t="shared" si="173"/>
        <v>#VALUE!</v>
      </c>
      <c r="AA49" s="720" t="e">
        <f t="shared" si="173"/>
        <v>#VALUE!</v>
      </c>
      <c r="AB49" s="720" t="e">
        <f t="shared" si="173"/>
        <v>#VALUE!</v>
      </c>
      <c r="AC49" s="720" t="e">
        <f t="shared" si="173"/>
        <v>#VALUE!</v>
      </c>
      <c r="AD49" s="720" t="e">
        <f t="shared" si="173"/>
        <v>#VALUE!</v>
      </c>
      <c r="AE49" s="720" t="e">
        <f t="shared" si="173"/>
        <v>#VALUE!</v>
      </c>
      <c r="AF49" s="720" t="e">
        <f t="shared" si="173"/>
        <v>#VALUE!</v>
      </c>
      <c r="AG49" s="721" t="e">
        <f t="shared" si="173"/>
        <v>#VALUE!</v>
      </c>
      <c r="AH49" s="719" t="e">
        <f t="shared" si="173"/>
        <v>#VALUE!</v>
      </c>
      <c r="AI49" s="720" t="e">
        <f t="shared" si="173"/>
        <v>#VALUE!</v>
      </c>
      <c r="AJ49" s="720" t="e">
        <f t="shared" si="173"/>
        <v>#VALUE!</v>
      </c>
      <c r="AK49" s="720" t="e">
        <f t="shared" ref="AK49:BF49" si="174">AK48/AK34-AK33</f>
        <v>#VALUE!</v>
      </c>
      <c r="AL49" s="720" t="e">
        <f t="shared" si="174"/>
        <v>#VALUE!</v>
      </c>
      <c r="AM49" s="720" t="e">
        <f t="shared" si="174"/>
        <v>#VALUE!</v>
      </c>
      <c r="AN49" s="720" t="e">
        <f t="shared" si="174"/>
        <v>#VALUE!</v>
      </c>
      <c r="AO49" s="720" t="e">
        <f t="shared" si="174"/>
        <v>#VALUE!</v>
      </c>
      <c r="AP49" s="720" t="e">
        <f t="shared" si="174"/>
        <v>#VALUE!</v>
      </c>
      <c r="AQ49" s="721" t="e">
        <f t="shared" si="174"/>
        <v>#VALUE!</v>
      </c>
      <c r="AR49" s="719" t="e">
        <f t="shared" si="174"/>
        <v>#VALUE!</v>
      </c>
      <c r="AS49" s="720" t="e">
        <f t="shared" si="174"/>
        <v>#VALUE!</v>
      </c>
      <c r="AT49" s="720" t="e">
        <f t="shared" si="174"/>
        <v>#VALUE!</v>
      </c>
      <c r="AU49" s="720" t="e">
        <f t="shared" si="174"/>
        <v>#VALUE!</v>
      </c>
      <c r="AV49" s="720" t="e">
        <f t="shared" si="174"/>
        <v>#VALUE!</v>
      </c>
      <c r="AW49" s="720" t="e">
        <f t="shared" si="174"/>
        <v>#VALUE!</v>
      </c>
      <c r="AX49" s="720" t="e">
        <f t="shared" si="174"/>
        <v>#VALUE!</v>
      </c>
      <c r="AY49" s="720" t="e">
        <f t="shared" si="174"/>
        <v>#VALUE!</v>
      </c>
      <c r="AZ49" s="720" t="e">
        <f t="shared" si="174"/>
        <v>#VALUE!</v>
      </c>
      <c r="BA49" s="721" t="e">
        <f t="shared" si="174"/>
        <v>#VALUE!</v>
      </c>
      <c r="BB49" s="719" t="e">
        <f t="shared" si="174"/>
        <v>#VALUE!</v>
      </c>
      <c r="BC49" s="720" t="e">
        <f t="shared" si="174"/>
        <v>#VALUE!</v>
      </c>
      <c r="BD49" s="720" t="e">
        <f t="shared" si="174"/>
        <v>#VALUE!</v>
      </c>
      <c r="BE49" s="720" t="e">
        <f t="shared" si="174"/>
        <v>#VALUE!</v>
      </c>
      <c r="BF49" s="720" t="e">
        <f t="shared" si="174"/>
        <v>#VALUE!</v>
      </c>
      <c r="BG49" s="720" t="e">
        <f t="shared" ref="BG49:CE49" si="175">BG48/BG34-BG33</f>
        <v>#VALUE!</v>
      </c>
      <c r="BH49" s="720" t="e">
        <f t="shared" si="175"/>
        <v>#VALUE!</v>
      </c>
      <c r="BI49" s="720" t="e">
        <f t="shared" si="175"/>
        <v>#VALUE!</v>
      </c>
      <c r="BJ49" s="720" t="e">
        <f t="shared" si="175"/>
        <v>#VALUE!</v>
      </c>
      <c r="BK49" s="721" t="e">
        <f t="shared" si="175"/>
        <v>#VALUE!</v>
      </c>
      <c r="BL49" s="719" t="e">
        <f t="shared" si="175"/>
        <v>#VALUE!</v>
      </c>
      <c r="BM49" s="720" t="e">
        <f t="shared" si="175"/>
        <v>#VALUE!</v>
      </c>
      <c r="BN49" s="720" t="e">
        <f t="shared" si="175"/>
        <v>#VALUE!</v>
      </c>
      <c r="BO49" s="720" t="e">
        <f t="shared" si="175"/>
        <v>#VALUE!</v>
      </c>
      <c r="BP49" s="720" t="e">
        <f t="shared" si="175"/>
        <v>#VALUE!</v>
      </c>
      <c r="BQ49" s="720" t="e">
        <f t="shared" si="175"/>
        <v>#VALUE!</v>
      </c>
      <c r="BR49" s="720" t="e">
        <f t="shared" si="175"/>
        <v>#VALUE!</v>
      </c>
      <c r="BS49" s="720" t="e">
        <f t="shared" si="175"/>
        <v>#VALUE!</v>
      </c>
      <c r="BT49" s="720" t="e">
        <f t="shared" si="175"/>
        <v>#VALUE!</v>
      </c>
      <c r="BU49" s="721" t="e">
        <f t="shared" si="175"/>
        <v>#VALUE!</v>
      </c>
      <c r="BV49" s="719" t="e">
        <f t="shared" si="175"/>
        <v>#VALUE!</v>
      </c>
      <c r="BW49" s="720" t="e">
        <f t="shared" si="175"/>
        <v>#VALUE!</v>
      </c>
      <c r="BX49" s="720" t="e">
        <f t="shared" si="175"/>
        <v>#VALUE!</v>
      </c>
      <c r="BY49" s="720" t="e">
        <f t="shared" si="175"/>
        <v>#VALUE!</v>
      </c>
      <c r="BZ49" s="720" t="e">
        <f t="shared" si="175"/>
        <v>#VALUE!</v>
      </c>
      <c r="CA49" s="720" t="e">
        <f t="shared" si="175"/>
        <v>#VALUE!</v>
      </c>
      <c r="CB49" s="720" t="e">
        <f t="shared" si="175"/>
        <v>#VALUE!</v>
      </c>
      <c r="CC49" s="720" t="e">
        <f t="shared" si="175"/>
        <v>#VALUE!</v>
      </c>
      <c r="CD49" s="720" t="e">
        <f t="shared" si="175"/>
        <v>#VALUE!</v>
      </c>
      <c r="CE49" s="721" t="e">
        <f t="shared" si="175"/>
        <v>#VALUE!</v>
      </c>
    </row>
    <row r="50" spans="1:83" s="56" customFormat="1" ht="14.25" customHeight="1">
      <c r="A50" s="1196"/>
      <c r="B50" s="1197"/>
      <c r="C50" s="1197"/>
      <c r="D50" s="722" t="e">
        <f t="shared" ref="D50" si="176">IF(D44&lt;0,D43,D48)</f>
        <v>#VALUE!</v>
      </c>
      <c r="E50" s="723" t="e">
        <f t="shared" ref="E50:AJ50" si="177">IF(E44&lt;0,E43,E48)</f>
        <v>#VALUE!</v>
      </c>
      <c r="F50" s="723" t="e">
        <f t="shared" si="177"/>
        <v>#VALUE!</v>
      </c>
      <c r="G50" s="723" t="e">
        <f t="shared" si="177"/>
        <v>#VALUE!</v>
      </c>
      <c r="H50" s="723" t="e">
        <f t="shared" si="177"/>
        <v>#VALUE!</v>
      </c>
      <c r="I50" s="723" t="e">
        <f t="shared" si="177"/>
        <v>#VALUE!</v>
      </c>
      <c r="J50" s="723" t="e">
        <f t="shared" si="177"/>
        <v>#VALUE!</v>
      </c>
      <c r="K50" s="723" t="e">
        <f t="shared" si="177"/>
        <v>#VALUE!</v>
      </c>
      <c r="L50" s="723" t="e">
        <f t="shared" si="177"/>
        <v>#VALUE!</v>
      </c>
      <c r="M50" s="724" t="e">
        <f t="shared" si="177"/>
        <v>#VALUE!</v>
      </c>
      <c r="N50" s="722" t="e">
        <f t="shared" si="177"/>
        <v>#VALUE!</v>
      </c>
      <c r="O50" s="723" t="e">
        <f t="shared" si="177"/>
        <v>#VALUE!</v>
      </c>
      <c r="P50" s="723" t="e">
        <f t="shared" si="177"/>
        <v>#VALUE!</v>
      </c>
      <c r="Q50" s="723" t="e">
        <f t="shared" si="177"/>
        <v>#VALUE!</v>
      </c>
      <c r="R50" s="723" t="e">
        <f t="shared" si="177"/>
        <v>#VALUE!</v>
      </c>
      <c r="S50" s="723" t="e">
        <f t="shared" si="177"/>
        <v>#VALUE!</v>
      </c>
      <c r="T50" s="723" t="e">
        <f t="shared" si="177"/>
        <v>#VALUE!</v>
      </c>
      <c r="U50" s="723" t="e">
        <f t="shared" si="177"/>
        <v>#VALUE!</v>
      </c>
      <c r="V50" s="723" t="e">
        <f t="shared" si="177"/>
        <v>#VALUE!</v>
      </c>
      <c r="W50" s="724" t="e">
        <f t="shared" si="177"/>
        <v>#VALUE!</v>
      </c>
      <c r="X50" s="722" t="e">
        <f t="shared" si="177"/>
        <v>#VALUE!</v>
      </c>
      <c r="Y50" s="723" t="e">
        <f t="shared" si="177"/>
        <v>#VALUE!</v>
      </c>
      <c r="Z50" s="723" t="e">
        <f t="shared" si="177"/>
        <v>#VALUE!</v>
      </c>
      <c r="AA50" s="723" t="e">
        <f t="shared" si="177"/>
        <v>#VALUE!</v>
      </c>
      <c r="AB50" s="723" t="e">
        <f t="shared" si="177"/>
        <v>#VALUE!</v>
      </c>
      <c r="AC50" s="723" t="e">
        <f t="shared" si="177"/>
        <v>#VALUE!</v>
      </c>
      <c r="AD50" s="723" t="e">
        <f t="shared" si="177"/>
        <v>#VALUE!</v>
      </c>
      <c r="AE50" s="723" t="e">
        <f t="shared" si="177"/>
        <v>#VALUE!</v>
      </c>
      <c r="AF50" s="723" t="e">
        <f t="shared" si="177"/>
        <v>#VALUE!</v>
      </c>
      <c r="AG50" s="724" t="e">
        <f t="shared" si="177"/>
        <v>#VALUE!</v>
      </c>
      <c r="AH50" s="722" t="e">
        <f t="shared" si="177"/>
        <v>#VALUE!</v>
      </c>
      <c r="AI50" s="723" t="e">
        <f t="shared" si="177"/>
        <v>#VALUE!</v>
      </c>
      <c r="AJ50" s="723" t="e">
        <f t="shared" si="177"/>
        <v>#VALUE!</v>
      </c>
      <c r="AK50" s="723" t="e">
        <f t="shared" ref="AK50:BF50" si="178">IF(AK44&lt;0,AK43,AK48)</f>
        <v>#VALUE!</v>
      </c>
      <c r="AL50" s="723" t="e">
        <f t="shared" si="178"/>
        <v>#VALUE!</v>
      </c>
      <c r="AM50" s="723" t="e">
        <f t="shared" si="178"/>
        <v>#VALUE!</v>
      </c>
      <c r="AN50" s="723" t="e">
        <f t="shared" si="178"/>
        <v>#VALUE!</v>
      </c>
      <c r="AO50" s="723" t="e">
        <f t="shared" si="178"/>
        <v>#VALUE!</v>
      </c>
      <c r="AP50" s="723" t="e">
        <f t="shared" si="178"/>
        <v>#VALUE!</v>
      </c>
      <c r="AQ50" s="724" t="e">
        <f t="shared" si="178"/>
        <v>#VALUE!</v>
      </c>
      <c r="AR50" s="722" t="e">
        <f t="shared" si="178"/>
        <v>#VALUE!</v>
      </c>
      <c r="AS50" s="723" t="e">
        <f t="shared" si="178"/>
        <v>#VALUE!</v>
      </c>
      <c r="AT50" s="723" t="e">
        <f t="shared" si="178"/>
        <v>#VALUE!</v>
      </c>
      <c r="AU50" s="723" t="e">
        <f t="shared" si="178"/>
        <v>#VALUE!</v>
      </c>
      <c r="AV50" s="723" t="e">
        <f t="shared" si="178"/>
        <v>#VALUE!</v>
      </c>
      <c r="AW50" s="723" t="e">
        <f t="shared" si="178"/>
        <v>#VALUE!</v>
      </c>
      <c r="AX50" s="723" t="e">
        <f t="shared" si="178"/>
        <v>#VALUE!</v>
      </c>
      <c r="AY50" s="723" t="e">
        <f t="shared" si="178"/>
        <v>#VALUE!</v>
      </c>
      <c r="AZ50" s="723" t="e">
        <f t="shared" si="178"/>
        <v>#VALUE!</v>
      </c>
      <c r="BA50" s="724" t="e">
        <f t="shared" si="178"/>
        <v>#VALUE!</v>
      </c>
      <c r="BB50" s="722" t="e">
        <f t="shared" si="178"/>
        <v>#VALUE!</v>
      </c>
      <c r="BC50" s="723" t="e">
        <f t="shared" si="178"/>
        <v>#VALUE!</v>
      </c>
      <c r="BD50" s="723" t="e">
        <f t="shared" si="178"/>
        <v>#VALUE!</v>
      </c>
      <c r="BE50" s="723" t="e">
        <f t="shared" si="178"/>
        <v>#VALUE!</v>
      </c>
      <c r="BF50" s="723" t="e">
        <f t="shared" si="178"/>
        <v>#VALUE!</v>
      </c>
      <c r="BG50" s="723" t="e">
        <f t="shared" ref="BG50:CE50" si="179">IF(BG44&lt;0,BG43,BG48)</f>
        <v>#VALUE!</v>
      </c>
      <c r="BH50" s="723" t="e">
        <f t="shared" si="179"/>
        <v>#VALUE!</v>
      </c>
      <c r="BI50" s="723" t="e">
        <f t="shared" si="179"/>
        <v>#VALUE!</v>
      </c>
      <c r="BJ50" s="723" t="e">
        <f t="shared" si="179"/>
        <v>#VALUE!</v>
      </c>
      <c r="BK50" s="724" t="e">
        <f t="shared" si="179"/>
        <v>#VALUE!</v>
      </c>
      <c r="BL50" s="722" t="e">
        <f t="shared" si="179"/>
        <v>#VALUE!</v>
      </c>
      <c r="BM50" s="723" t="e">
        <f t="shared" si="179"/>
        <v>#VALUE!</v>
      </c>
      <c r="BN50" s="723" t="e">
        <f t="shared" si="179"/>
        <v>#VALUE!</v>
      </c>
      <c r="BO50" s="723" t="e">
        <f t="shared" si="179"/>
        <v>#VALUE!</v>
      </c>
      <c r="BP50" s="723" t="e">
        <f t="shared" si="179"/>
        <v>#VALUE!</v>
      </c>
      <c r="BQ50" s="723" t="e">
        <f t="shared" si="179"/>
        <v>#VALUE!</v>
      </c>
      <c r="BR50" s="723" t="e">
        <f t="shared" si="179"/>
        <v>#VALUE!</v>
      </c>
      <c r="BS50" s="723" t="e">
        <f t="shared" si="179"/>
        <v>#VALUE!</v>
      </c>
      <c r="BT50" s="723" t="e">
        <f t="shared" si="179"/>
        <v>#VALUE!</v>
      </c>
      <c r="BU50" s="724" t="e">
        <f t="shared" si="179"/>
        <v>#VALUE!</v>
      </c>
      <c r="BV50" s="722" t="e">
        <f t="shared" si="179"/>
        <v>#VALUE!</v>
      </c>
      <c r="BW50" s="723" t="e">
        <f t="shared" si="179"/>
        <v>#VALUE!</v>
      </c>
      <c r="BX50" s="723" t="e">
        <f t="shared" si="179"/>
        <v>#VALUE!</v>
      </c>
      <c r="BY50" s="723" t="e">
        <f t="shared" si="179"/>
        <v>#VALUE!</v>
      </c>
      <c r="BZ50" s="723" t="e">
        <f t="shared" si="179"/>
        <v>#VALUE!</v>
      </c>
      <c r="CA50" s="723" t="e">
        <f t="shared" si="179"/>
        <v>#VALUE!</v>
      </c>
      <c r="CB50" s="723" t="e">
        <f t="shared" si="179"/>
        <v>#VALUE!</v>
      </c>
      <c r="CC50" s="723" t="e">
        <f t="shared" si="179"/>
        <v>#VALUE!</v>
      </c>
      <c r="CD50" s="723" t="e">
        <f t="shared" si="179"/>
        <v>#VALUE!</v>
      </c>
      <c r="CE50" s="724" t="e">
        <f t="shared" si="179"/>
        <v>#VALUE!</v>
      </c>
    </row>
    <row r="51" spans="1:83" s="56" customFormat="1" ht="14.25" customHeight="1"/>
    <row r="52" spans="1:83" s="56" customFormat="1" ht="14.25" customHeight="1"/>
    <row r="53" spans="1:83" s="56" customFormat="1" ht="14.25" customHeight="1"/>
    <row r="54" spans="1:83" s="56" customFormat="1" ht="14.25" customHeight="1"/>
    <row r="55" spans="1:83" s="56" customFormat="1" ht="14.25" customHeight="1"/>
    <row r="56" spans="1:83" s="56" customFormat="1" ht="14.25" customHeight="1"/>
    <row r="57" spans="1:83" s="56" customFormat="1" ht="14.25" customHeight="1"/>
    <row r="58" spans="1:83" s="56" customFormat="1" ht="14.25" customHeight="1"/>
    <row r="59" spans="1:83" s="56" customFormat="1" ht="14.25" customHeight="1"/>
    <row r="60" spans="1:83" s="56" customFormat="1" ht="14.25" customHeight="1"/>
    <row r="61" spans="1:83" s="56" customFormat="1" ht="14.25" customHeight="1"/>
    <row r="62" spans="1:83" s="56" customFormat="1" ht="14.25" customHeight="1"/>
    <row r="63" spans="1:83" s="56" customFormat="1" ht="14.25" customHeight="1"/>
    <row r="64" spans="1:83" s="56" customFormat="1" ht="14.25" customHeight="1"/>
    <row r="65" spans="1:156" s="56" customFormat="1" ht="14.25" customHeight="1"/>
    <row r="66" spans="1:156" s="56" customFormat="1" ht="14.25" customHeight="1"/>
    <row r="67" spans="1:156" s="56" customFormat="1" ht="14.25" customHeight="1"/>
    <row r="68" spans="1:156" ht="14.25" customHeight="1">
      <c r="A68" s="56"/>
      <c r="B68" s="56"/>
      <c r="C68" s="56"/>
      <c r="D68" s="56"/>
      <c r="E68" s="56"/>
      <c r="F68" s="56"/>
    </row>
    <row r="77" spans="1:156" s="6" customFormat="1" ht="14.2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row>
    <row r="78" spans="1:156" s="6" customFormat="1" ht="14.25"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row>
    <row r="79" spans="1:156" s="6" customFormat="1" ht="14.2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row>
    <row r="80" spans="1:156" s="6" customFormat="1" ht="14.2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row>
    <row r="81" spans="1:156" s="6" customFormat="1" ht="14.25"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row>
    <row r="82" spans="1:156" s="6" customFormat="1" ht="14.25"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row>
    <row r="83" spans="1:156" s="6" customFormat="1" ht="14.25"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row>
    <row r="84" spans="1:156" s="6" customFormat="1" ht="14.25"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row>
    <row r="85" spans="1:156" s="6" customFormat="1" ht="14.2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row>
    <row r="86" spans="1:156" s="6" customFormat="1" ht="14.2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row>
    <row r="87" spans="1:156" s="6" customFormat="1" ht="14.25"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row>
    <row r="88" spans="1:156" s="6" customFormat="1" ht="14.25"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row>
  </sheetData>
  <sheetProtection algorithmName="SHA-512" hashValue="gQXKZMMGmm+AZpkMIpqowzMe/NhrlhazHRY2mZa8Q+D6Man+avHs4dd8yI1D/+eMY5Rmif6LG98EIARxiH02uA==" saltValue="24QjnCFbsyBHsq3yamfqMg==" spinCount="100000" sheet="1" objects="1" scenarios="1"/>
  <protectedRanges>
    <protectedRange algorithmName="SHA-512" hashValue="WRiBOLdCiQ9c1SHCvChWOUI00vwvAyr1/agJDlGy/a1DoH68MDDjYPqNxN1F5Zqo2pWTImmRDwJKgCjXes1cJQ==" saltValue="i0gimSPV8FlA8dX6/QKSgQ==" spinCount="100000" sqref="N7:AQ7 D7:M13" name="Bereich1"/>
  </protectedRanges>
  <mergeCells count="10">
    <mergeCell ref="A29:C50"/>
    <mergeCell ref="AR3:BA3"/>
    <mergeCell ref="BB3:BK3"/>
    <mergeCell ref="BL3:BU3"/>
    <mergeCell ref="A1:C1"/>
    <mergeCell ref="BV3:CE3"/>
    <mergeCell ref="D3:M3"/>
    <mergeCell ref="N3:W3"/>
    <mergeCell ref="X3:AG3"/>
    <mergeCell ref="AH3:AQ3"/>
  </mergeCells>
  <phoneticPr fontId="4" type="noConversion"/>
  <pageMargins left="0.7" right="0.7" top="0.78740157499999996" bottom="0.78740157499999996"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89A91-2857-4E5A-B8C4-327680E2E716}">
  <sheetPr>
    <tabColor theme="9" tint="0.79998168889431442"/>
  </sheetPr>
  <dimension ref="A1:D24"/>
  <sheetViews>
    <sheetView workbookViewId="0">
      <selection sqref="A1:C1"/>
    </sheetView>
  </sheetViews>
  <sheetFormatPr baseColWidth="10" defaultColWidth="11.42578125" defaultRowHeight="14.25" customHeight="1"/>
  <cols>
    <col min="1" max="1" width="21.42578125" customWidth="1"/>
    <col min="2" max="2" width="1.7109375" customWidth="1"/>
    <col min="3" max="4" width="22.140625" customWidth="1"/>
  </cols>
  <sheetData>
    <row r="1" spans="1:4" ht="14.25" customHeight="1">
      <c r="A1" s="1025" t="s">
        <v>342</v>
      </c>
      <c r="B1" s="1025"/>
      <c r="C1" s="1025"/>
    </row>
    <row r="3" spans="1:4" ht="14.25" customHeight="1">
      <c r="A3" s="478" t="s">
        <v>174</v>
      </c>
      <c r="B3" s="478"/>
      <c r="C3" s="488" t="s">
        <v>574</v>
      </c>
      <c r="D3" s="488" t="s">
        <v>175</v>
      </c>
    </row>
    <row r="4" spans="1:4" ht="9" customHeight="1">
      <c r="C4" s="486"/>
      <c r="D4" s="486"/>
    </row>
    <row r="5" spans="1:4" ht="14.25" customHeight="1">
      <c r="A5" s="605" t="s">
        <v>191</v>
      </c>
      <c r="B5" s="479"/>
      <c r="C5" s="480">
        <f>MROUND('Energie-Baustoffe'!C22,10)</f>
        <v>0</v>
      </c>
      <c r="D5" s="480">
        <f>MROUND('Energie-Baustoffe'!D22,10)</f>
        <v>0</v>
      </c>
    </row>
    <row r="6" spans="1:4" ht="14.25" customHeight="1">
      <c r="A6" s="606" t="s">
        <v>98</v>
      </c>
      <c r="B6" s="481"/>
      <c r="C6" s="482">
        <f>MROUND('Energie-Baustoffe'!C23,10)</f>
        <v>0</v>
      </c>
      <c r="D6" s="482">
        <f>MROUND('Energie-Baustoffe'!D23,10)</f>
        <v>0</v>
      </c>
    </row>
    <row r="7" spans="1:4" ht="14.25" customHeight="1">
      <c r="A7" s="606" t="s">
        <v>192</v>
      </c>
      <c r="B7" s="481"/>
      <c r="C7" s="482">
        <f>MROUND('Energie-Baustoffe'!C24,10)</f>
        <v>0</v>
      </c>
      <c r="D7" s="482">
        <f>MROUND('Energie-Baustoffe'!D24,10)</f>
        <v>0</v>
      </c>
    </row>
    <row r="8" spans="1:4" ht="14.25" customHeight="1">
      <c r="A8" s="607" t="s">
        <v>100</v>
      </c>
      <c r="B8" s="483"/>
      <c r="C8" s="484">
        <f>MROUND('Energie-Baustoffe'!C25,10)</f>
        <v>0</v>
      </c>
      <c r="D8" s="484">
        <f>MROUND('Energie-Baustoffe'!D25,10)</f>
        <v>0</v>
      </c>
    </row>
    <row r="9" spans="1:4" ht="14.25" customHeight="1">
      <c r="A9" s="608" t="s">
        <v>575</v>
      </c>
      <c r="B9" s="524"/>
      <c r="C9" s="523">
        <f>SUM(C5:C8)</f>
        <v>0</v>
      </c>
      <c r="D9" s="523">
        <f>SUM(D5:D8)</f>
        <v>0</v>
      </c>
    </row>
    <row r="11" spans="1:4" ht="14.25" customHeight="1">
      <c r="A11" s="478" t="s">
        <v>176</v>
      </c>
      <c r="B11" s="478"/>
      <c r="C11" s="488" t="s">
        <v>574</v>
      </c>
      <c r="D11" s="488" t="s">
        <v>175</v>
      </c>
    </row>
    <row r="12" spans="1:4" ht="9" customHeight="1">
      <c r="C12" s="486"/>
      <c r="D12" s="486"/>
    </row>
    <row r="13" spans="1:4" ht="14.25" customHeight="1">
      <c r="A13" s="605" t="s">
        <v>222</v>
      </c>
      <c r="B13" s="479"/>
      <c r="C13" s="480">
        <f>MROUND('Energie-Transport'!C25,10)</f>
        <v>0</v>
      </c>
      <c r="D13" s="480">
        <f>MROUND('Energie-Transport'!D25,10)</f>
        <v>0</v>
      </c>
    </row>
    <row r="14" spans="1:4" ht="14.25" customHeight="1">
      <c r="A14" s="606" t="s">
        <v>228</v>
      </c>
      <c r="B14" s="481"/>
      <c r="C14" s="482">
        <f>MROUND('Energie-Transport'!C26,10)</f>
        <v>0</v>
      </c>
      <c r="D14" s="482">
        <f>MROUND('Energie-Transport'!D26,10)</f>
        <v>0</v>
      </c>
    </row>
    <row r="15" spans="1:4" ht="14.25" customHeight="1">
      <c r="A15" s="606" t="s">
        <v>232</v>
      </c>
      <c r="B15" s="481"/>
      <c r="C15" s="482">
        <f>MROUND('Energie-Transport'!C27,10)</f>
        <v>0</v>
      </c>
      <c r="D15" s="482">
        <f>MROUND('Energie-Transport'!D27,10)</f>
        <v>0</v>
      </c>
    </row>
    <row r="16" spans="1:4" ht="14.25" customHeight="1">
      <c r="A16" s="607" t="s">
        <v>234</v>
      </c>
      <c r="B16" s="483"/>
      <c r="C16" s="484">
        <f>MROUND('Energie-Transport'!C28,10)</f>
        <v>0</v>
      </c>
      <c r="D16" s="484">
        <f>MROUND('Energie-Transport'!D28,10)</f>
        <v>0</v>
      </c>
    </row>
    <row r="17" spans="1:4" ht="14.25" customHeight="1">
      <c r="A17" s="608" t="s">
        <v>575</v>
      </c>
      <c r="B17" s="524"/>
      <c r="C17" s="523">
        <f>SUM(C13:C16)</f>
        <v>0</v>
      </c>
      <c r="D17" s="523">
        <f>SUM(D13:D16)</f>
        <v>0</v>
      </c>
    </row>
    <row r="19" spans="1:4" ht="14.25" customHeight="1">
      <c r="A19" s="478" t="s">
        <v>169</v>
      </c>
      <c r="B19" s="478"/>
      <c r="C19" s="488" t="s">
        <v>574</v>
      </c>
      <c r="D19" s="488" t="s">
        <v>175</v>
      </c>
    </row>
    <row r="20" spans="1:4" ht="9" customHeight="1">
      <c r="C20" s="486"/>
      <c r="D20" s="486"/>
    </row>
    <row r="21" spans="1:4" ht="14.25" customHeight="1">
      <c r="A21" s="605" t="s">
        <v>163</v>
      </c>
      <c r="B21" s="479"/>
      <c r="C21" s="480">
        <f>MROUND('Energie-Bauprozesse'!C38,10)</f>
        <v>0</v>
      </c>
      <c r="D21" s="480">
        <f>MROUND('Energie-Bauprozesse'!D38,10)</f>
        <v>0</v>
      </c>
    </row>
    <row r="22" spans="1:4" ht="14.25" customHeight="1">
      <c r="A22" s="606" t="s">
        <v>576</v>
      </c>
      <c r="B22" s="481"/>
      <c r="C22" s="482">
        <f>MROUND('Energie-Bauprozesse'!C39,10)</f>
        <v>0</v>
      </c>
      <c r="D22" s="482">
        <f>MROUND('Energie-Bauprozesse'!D39,10)</f>
        <v>0</v>
      </c>
    </row>
    <row r="23" spans="1:4" ht="14.25" customHeight="1">
      <c r="A23" s="607" t="s">
        <v>104</v>
      </c>
      <c r="B23" s="483"/>
      <c r="C23" s="484">
        <f>MROUND('Energie-Bauprozesse'!C40,10)</f>
        <v>0</v>
      </c>
      <c r="D23" s="484">
        <f>MROUND('Energie-Bauprozesse'!D40,10)</f>
        <v>0</v>
      </c>
    </row>
    <row r="24" spans="1:4" ht="14.25" customHeight="1">
      <c r="A24" s="608" t="s">
        <v>575</v>
      </c>
      <c r="B24" s="524"/>
      <c r="C24" s="523">
        <f>SUM(C21:C23)</f>
        <v>0</v>
      </c>
      <c r="D24" s="523">
        <f>SUM(D21:D23)</f>
        <v>0</v>
      </c>
    </row>
  </sheetData>
  <sheetProtection algorithmName="SHA-512" hashValue="Y8kq3hMn9V1hoEERa8pQDOGsaBupPZcGQ4ZudVR8Ab3grPYOWdJH+w1MtYE5Hlk/ikTZWCJsDMSVTBCimnHfjg==" saltValue="AD+14s99Nl9dE25+ZiHh+A==" spinCount="100000" sheet="1" objects="1" scenarios="1"/>
  <mergeCells count="1">
    <mergeCell ref="A1:C1"/>
  </mergeCells>
  <pageMargins left="0.7" right="0.7" top="0.78740157499999996" bottom="0.78740157499999996" header="0.3" footer="0.3"/>
  <pageSetup paperSize="9" orientation="portrait" horizontalDpi="30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0C0B-2633-4791-A6AF-DCAA2C2B972C}">
  <sheetPr>
    <tabColor theme="9" tint="0.79998168889431442"/>
  </sheetPr>
  <dimension ref="A1:J33"/>
  <sheetViews>
    <sheetView workbookViewId="0">
      <selection sqref="A1:C1"/>
    </sheetView>
  </sheetViews>
  <sheetFormatPr baseColWidth="10" defaultColWidth="11.42578125" defaultRowHeight="14.25" customHeight="1"/>
  <cols>
    <col min="1" max="1" width="25.140625" bestFit="1" customWidth="1"/>
    <col min="2" max="2" width="5.42578125" customWidth="1"/>
    <col min="3" max="9" width="18.7109375" customWidth="1"/>
  </cols>
  <sheetData>
    <row r="1" spans="1:10" ht="14.25" customHeight="1">
      <c r="A1" s="1025" t="s">
        <v>577</v>
      </c>
      <c r="B1" s="1025"/>
      <c r="C1" s="1025"/>
    </row>
    <row r="3" spans="1:10" s="5" customFormat="1" ht="14.25" customHeight="1">
      <c r="A3" s="307" t="s">
        <v>578</v>
      </c>
      <c r="B3" s="24"/>
      <c r="C3" s="306" t="s">
        <v>46</v>
      </c>
      <c r="D3" s="306" t="s">
        <v>498</v>
      </c>
      <c r="E3" s="306" t="s">
        <v>499</v>
      </c>
      <c r="F3" s="306" t="s">
        <v>500</v>
      </c>
      <c r="G3" s="306" t="s">
        <v>501</v>
      </c>
      <c r="H3" s="306" t="s">
        <v>502</v>
      </c>
      <c r="I3" s="306" t="s">
        <v>579</v>
      </c>
    </row>
    <row r="4" spans="1:10" s="5" customFormat="1" ht="8.25" customHeight="1">
      <c r="C4" s="317"/>
      <c r="D4" s="321"/>
      <c r="E4" s="317"/>
      <c r="F4" s="317"/>
      <c r="G4" s="322"/>
      <c r="H4" s="317"/>
      <c r="I4" s="317"/>
      <c r="J4" s="6"/>
    </row>
    <row r="5" spans="1:10" ht="14.25" customHeight="1">
      <c r="A5" s="1198" t="s">
        <v>191</v>
      </c>
      <c r="B5" s="356" t="s">
        <v>516</v>
      </c>
      <c r="C5" s="323">
        <f>Transport!C46</f>
        <v>0</v>
      </c>
      <c r="D5" s="323">
        <f>Transport!D46</f>
        <v>0</v>
      </c>
      <c r="E5" s="323">
        <f>Transport!E46</f>
        <v>0</v>
      </c>
      <c r="F5" s="323">
        <f>Transport!F46</f>
        <v>0</v>
      </c>
      <c r="G5" s="323">
        <f>Transport!G46</f>
        <v>0</v>
      </c>
      <c r="H5" s="323">
        <f>Transport!H46</f>
        <v>0</v>
      </c>
      <c r="I5" s="476">
        <f>SUM(C5:H5)</f>
        <v>0</v>
      </c>
    </row>
    <row r="6" spans="1:10" ht="14.25" customHeight="1">
      <c r="A6" s="1199"/>
      <c r="B6" s="359" t="s">
        <v>190</v>
      </c>
      <c r="C6" s="328">
        <f>Transport!C47</f>
        <v>0</v>
      </c>
      <c r="D6" s="328">
        <f>Transport!D47</f>
        <v>0</v>
      </c>
      <c r="E6" s="328">
        <f>Transport!E47</f>
        <v>0</v>
      </c>
      <c r="F6" s="328">
        <f>Transport!F47</f>
        <v>0</v>
      </c>
      <c r="G6" s="328">
        <f>Transport!G47</f>
        <v>0</v>
      </c>
      <c r="H6" s="328">
        <f>Transport!H47</f>
        <v>0</v>
      </c>
      <c r="I6" s="477">
        <f t="shared" ref="I6:I11" si="0">SUM(C6:H6)</f>
        <v>0</v>
      </c>
    </row>
    <row r="7" spans="1:10" ht="14.25" customHeight="1">
      <c r="A7" s="831" t="s">
        <v>98</v>
      </c>
      <c r="B7" s="353" t="s">
        <v>190</v>
      </c>
      <c r="C7" s="328">
        <f>Transport!C52</f>
        <v>0</v>
      </c>
      <c r="D7" s="328">
        <f>Transport!D52</f>
        <v>0</v>
      </c>
      <c r="E7" s="328">
        <f>Transport!E52</f>
        <v>0</v>
      </c>
      <c r="F7" s="328">
        <f>Transport!F52</f>
        <v>0</v>
      </c>
      <c r="G7" s="328">
        <f>Transport!G52</f>
        <v>0</v>
      </c>
      <c r="H7" s="328">
        <f>Transport!H52</f>
        <v>0</v>
      </c>
      <c r="I7" s="477">
        <f t="shared" si="0"/>
        <v>0</v>
      </c>
    </row>
    <row r="8" spans="1:10" ht="14.25" customHeight="1">
      <c r="A8" s="1198" t="s">
        <v>192</v>
      </c>
      <c r="B8" s="356" t="s">
        <v>40</v>
      </c>
      <c r="C8" s="323">
        <f>Transport!C53</f>
        <v>0</v>
      </c>
      <c r="D8" s="323">
        <f>Transport!D53</f>
        <v>0</v>
      </c>
      <c r="E8" s="323">
        <f>Transport!E53</f>
        <v>0</v>
      </c>
      <c r="F8" s="323">
        <f>Transport!F53</f>
        <v>0</v>
      </c>
      <c r="G8" s="323">
        <f>Transport!G53</f>
        <v>0</v>
      </c>
      <c r="H8" s="323">
        <f>Transport!H53</f>
        <v>0</v>
      </c>
      <c r="I8" s="476">
        <f t="shared" si="0"/>
        <v>0</v>
      </c>
    </row>
    <row r="9" spans="1:10" ht="14.25" customHeight="1">
      <c r="A9" s="1199"/>
      <c r="B9" s="359" t="s">
        <v>190</v>
      </c>
      <c r="C9" s="328">
        <f>Transport!C54</f>
        <v>0</v>
      </c>
      <c r="D9" s="328">
        <f>Transport!D54</f>
        <v>0</v>
      </c>
      <c r="E9" s="328">
        <f>Transport!E54</f>
        <v>0</v>
      </c>
      <c r="F9" s="328">
        <f>Transport!F54</f>
        <v>0</v>
      </c>
      <c r="G9" s="328">
        <f>Transport!G54</f>
        <v>0</v>
      </c>
      <c r="H9" s="328">
        <f>Transport!H54</f>
        <v>0</v>
      </c>
      <c r="I9" s="477">
        <f t="shared" si="0"/>
        <v>0</v>
      </c>
    </row>
    <row r="10" spans="1:10" ht="14.25" customHeight="1">
      <c r="A10" s="1198" t="s">
        <v>100</v>
      </c>
      <c r="B10" s="356" t="s">
        <v>516</v>
      </c>
      <c r="C10" s="323">
        <f>Transport!C55</f>
        <v>0</v>
      </c>
      <c r="D10" s="323">
        <f>Transport!D55</f>
        <v>0</v>
      </c>
      <c r="E10" s="323">
        <f>Transport!E55</f>
        <v>0</v>
      </c>
      <c r="F10" s="323">
        <f>Transport!F55</f>
        <v>0</v>
      </c>
      <c r="G10" s="323">
        <f>Transport!G55</f>
        <v>0</v>
      </c>
      <c r="H10" s="323">
        <f>Transport!H55</f>
        <v>0</v>
      </c>
      <c r="I10" s="476">
        <f t="shared" si="0"/>
        <v>0</v>
      </c>
    </row>
    <row r="11" spans="1:10" ht="14.25" customHeight="1">
      <c r="A11" s="1199"/>
      <c r="B11" s="359" t="s">
        <v>190</v>
      </c>
      <c r="C11" s="328">
        <f>Transport!C56</f>
        <v>0</v>
      </c>
      <c r="D11" s="328">
        <f>Transport!D56</f>
        <v>0</v>
      </c>
      <c r="E11" s="328">
        <f>Transport!E56</f>
        <v>0</v>
      </c>
      <c r="F11" s="328">
        <f>Transport!F56</f>
        <v>0</v>
      </c>
      <c r="G11" s="328">
        <f>Transport!G56</f>
        <v>0</v>
      </c>
      <c r="H11" s="328">
        <f>Transport!H56</f>
        <v>0</v>
      </c>
      <c r="I11" s="477">
        <f t="shared" si="0"/>
        <v>0</v>
      </c>
    </row>
    <row r="12" spans="1:10" ht="14.25" customHeight="1">
      <c r="C12" s="475"/>
      <c r="E12" s="475"/>
    </row>
    <row r="13" spans="1:10" ht="14.25" customHeight="1">
      <c r="A13" s="527" t="s">
        <v>165</v>
      </c>
      <c r="B13" s="527"/>
      <c r="C13" s="306" t="s">
        <v>369</v>
      </c>
      <c r="E13" s="475"/>
    </row>
    <row r="14" spans="1:10" ht="8.1" customHeight="1">
      <c r="C14" s="317"/>
    </row>
    <row r="15" spans="1:10" ht="14.25" customHeight="1">
      <c r="A15" s="832" t="s">
        <v>191</v>
      </c>
      <c r="B15" s="528" t="s">
        <v>516</v>
      </c>
      <c r="C15" s="323">
        <f>I5*AnzahlRöhren</f>
        <v>0</v>
      </c>
    </row>
    <row r="16" spans="1:10" ht="14.25" customHeight="1">
      <c r="A16" s="833" t="s">
        <v>98</v>
      </c>
      <c r="B16" s="529" t="s">
        <v>190</v>
      </c>
      <c r="C16" s="531">
        <f>I7*AnzahlRöhren</f>
        <v>0</v>
      </c>
    </row>
    <row r="17" spans="1:5" ht="14.25" customHeight="1">
      <c r="A17" s="833" t="s">
        <v>192</v>
      </c>
      <c r="B17" s="529" t="s">
        <v>190</v>
      </c>
      <c r="C17" s="531">
        <f>I9*AnzahlRöhren</f>
        <v>0</v>
      </c>
    </row>
    <row r="18" spans="1:5" ht="14.25" customHeight="1">
      <c r="A18" s="834" t="s">
        <v>100</v>
      </c>
      <c r="B18" s="530" t="s">
        <v>190</v>
      </c>
      <c r="C18" s="328">
        <f>I11*AnzahlRöhren</f>
        <v>0</v>
      </c>
    </row>
    <row r="19" spans="1:5" ht="14.25" customHeight="1">
      <c r="C19" s="475"/>
    </row>
    <row r="20" spans="1:5" ht="14.25" customHeight="1">
      <c r="A20" s="478" t="s">
        <v>577</v>
      </c>
      <c r="B20" s="478"/>
      <c r="C20" s="488" t="s">
        <v>574</v>
      </c>
      <c r="D20" s="488" t="s">
        <v>175</v>
      </c>
    </row>
    <row r="21" spans="1:5" ht="8.25" customHeight="1">
      <c r="C21" s="486"/>
      <c r="D21" s="486"/>
    </row>
    <row r="22" spans="1:5" ht="14.25" customHeight="1">
      <c r="A22" s="605" t="s">
        <v>191</v>
      </c>
      <c r="B22" s="479" t="s">
        <v>5</v>
      </c>
      <c r="C22" s="480">
        <f>ROUND(C15*Parameter!C109,0)</f>
        <v>0</v>
      </c>
      <c r="D22" s="480">
        <f>ROUND(C15*Parameter!E109,0)</f>
        <v>0</v>
      </c>
    </row>
    <row r="23" spans="1:5" ht="14.25" customHeight="1">
      <c r="A23" s="606" t="s">
        <v>98</v>
      </c>
      <c r="B23" s="481" t="s">
        <v>5</v>
      </c>
      <c r="C23" s="482">
        <f>ROUND(C16*Parameter!C110,0)</f>
        <v>0</v>
      </c>
      <c r="D23" s="482">
        <f>ROUND(C16*Parameter!E110,0)</f>
        <v>0</v>
      </c>
    </row>
    <row r="24" spans="1:5" ht="14.25" customHeight="1">
      <c r="A24" s="606" t="s">
        <v>192</v>
      </c>
      <c r="B24" s="481" t="s">
        <v>5</v>
      </c>
      <c r="C24" s="482">
        <f>ROUND(C17*1000*Parameter!C111,0)</f>
        <v>0</v>
      </c>
      <c r="D24" s="482">
        <f>ROUND(C17*1000*Parameter!E111,0)</f>
        <v>0</v>
      </c>
    </row>
    <row r="25" spans="1:5" ht="14.25" customHeight="1">
      <c r="A25" s="607" t="s">
        <v>100</v>
      </c>
      <c r="B25" s="483" t="s">
        <v>5</v>
      </c>
      <c r="C25" s="484">
        <f>ROUND(C18*Parameter!C120,0)</f>
        <v>0</v>
      </c>
      <c r="D25" s="484">
        <f>ROUND(C18*Parameter!E120,0)</f>
        <v>0</v>
      </c>
    </row>
    <row r="26" spans="1:5" ht="14.25" customHeight="1">
      <c r="C26" s="475"/>
      <c r="E26" s="475"/>
    </row>
    <row r="27" spans="1:5" ht="14.25" customHeight="1">
      <c r="C27" s="475"/>
      <c r="E27" s="475"/>
    </row>
    <row r="28" spans="1:5" ht="14.25" customHeight="1">
      <c r="C28" s="475"/>
      <c r="E28" s="475"/>
    </row>
    <row r="31" spans="1:5" ht="14.25" customHeight="1">
      <c r="C31" s="475"/>
    </row>
    <row r="32" spans="1:5" ht="14.25" customHeight="1">
      <c r="C32" s="475"/>
    </row>
    <row r="33" spans="3:3" ht="14.25" customHeight="1">
      <c r="C33" s="475"/>
    </row>
  </sheetData>
  <sheetProtection algorithmName="SHA-512" hashValue="JFsbTK4FL/I7bH/dp5VqT1G+2nkDPYhqQEslsfZHVNlBaGSNVwDmFXXOvjUgC2nUlgYwY+5inFlzzk8dEs8D/A==" saltValue="6uNJiO5zm8U2iO0gLKhlrg==" spinCount="100000" sheet="1" objects="1" scenarios="1"/>
  <mergeCells count="4">
    <mergeCell ref="A10:A11"/>
    <mergeCell ref="A1:C1"/>
    <mergeCell ref="A5:A6"/>
    <mergeCell ref="A8:A9"/>
  </mergeCells>
  <pageMargins left="0.7" right="0.7" top="0.78740157499999996" bottom="0.78740157499999996" header="0.3" footer="0.3"/>
  <pageSetup paperSize="9" orientation="portrait" horizontalDpi="30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83F0D-1323-471A-AE58-027A878F373E}">
  <sheetPr>
    <tabColor theme="9" tint="0.79998168889431442"/>
  </sheetPr>
  <dimension ref="A1:J40"/>
  <sheetViews>
    <sheetView workbookViewId="0">
      <selection sqref="A1:C1"/>
    </sheetView>
  </sheetViews>
  <sheetFormatPr baseColWidth="10" defaultColWidth="11.42578125" defaultRowHeight="14.25" customHeight="1"/>
  <cols>
    <col min="1" max="1" width="30.140625" style="5" bestFit="1" customWidth="1"/>
    <col min="2" max="2" width="7.42578125" style="5" customWidth="1"/>
    <col min="3" max="9" width="17.85546875" style="5" customWidth="1"/>
    <col min="10" max="16384" width="11.42578125" style="5"/>
  </cols>
  <sheetData>
    <row r="1" spans="1:9" ht="14.25" customHeight="1">
      <c r="A1" s="1025" t="s">
        <v>580</v>
      </c>
      <c r="B1" s="1025"/>
      <c r="C1" s="1025"/>
    </row>
    <row r="3" spans="1:9" ht="14.25" customHeight="1">
      <c r="A3" s="307" t="s">
        <v>581</v>
      </c>
      <c r="B3" s="24"/>
      <c r="C3" s="306" t="s">
        <v>46</v>
      </c>
      <c r="D3" s="306" t="s">
        <v>498</v>
      </c>
      <c r="E3" s="306" t="s">
        <v>499</v>
      </c>
      <c r="F3" s="306" t="s">
        <v>500</v>
      </c>
      <c r="G3" s="306" t="s">
        <v>501</v>
      </c>
      <c r="H3" s="306" t="s">
        <v>502</v>
      </c>
    </row>
    <row r="4" spans="1:9" ht="8.25" customHeight="1">
      <c r="C4" s="317"/>
      <c r="D4" s="321"/>
      <c r="E4" s="317"/>
      <c r="F4" s="317"/>
      <c r="G4" s="322"/>
      <c r="H4" s="317"/>
      <c r="I4" s="6"/>
    </row>
    <row r="5" spans="1:9" ht="14.25" customHeight="1">
      <c r="A5" s="835" t="s">
        <v>55</v>
      </c>
      <c r="B5" s="356" t="s">
        <v>5</v>
      </c>
      <c r="C5" s="357" cm="1">
        <f t="array" ref="C5:H5">Tunneldaten!E14:J14</f>
        <v>0</v>
      </c>
      <c r="D5" s="357">
        <v>0</v>
      </c>
      <c r="E5" s="357">
        <v>0</v>
      </c>
      <c r="F5" s="357">
        <v>0</v>
      </c>
      <c r="G5" s="357">
        <v>0</v>
      </c>
      <c r="H5" s="357">
        <v>0</v>
      </c>
    </row>
    <row r="6" spans="1:9" ht="14.25" customHeight="1">
      <c r="A6" s="836" t="s">
        <v>582</v>
      </c>
      <c r="B6" s="359" t="s">
        <v>5</v>
      </c>
      <c r="C6" s="582" t="str">
        <f>IF(Tunneldaten!E15&lt;&gt;"",Tunneldaten!E15,"")</f>
        <v/>
      </c>
      <c r="D6" s="582" t="str">
        <f>IF(Tunneldaten!F15&lt;&gt;"",Tunneldaten!F15,"")</f>
        <v/>
      </c>
      <c r="E6" s="582" t="str">
        <f>IF(Tunneldaten!G15&lt;&gt;"",Tunneldaten!G15,"")</f>
        <v/>
      </c>
      <c r="F6" s="583" t="str">
        <f>IF(Tunneldaten!H15&lt;&gt;"",Tunneldaten!H15,"")</f>
        <v/>
      </c>
      <c r="G6" s="583" t="str">
        <f>IF(Tunneldaten!I15&lt;&gt;"",Tunneldaten!I15,"")</f>
        <v/>
      </c>
      <c r="H6" s="583" t="str">
        <f>IF(Tunneldaten!J15&lt;&gt;"",Tunneldaten!J15,"")</f>
        <v/>
      </c>
    </row>
    <row r="7" spans="1:9" ht="14.25" customHeight="1">
      <c r="A7" s="831" t="s">
        <v>189</v>
      </c>
      <c r="B7" s="353" t="s">
        <v>516</v>
      </c>
      <c r="C7" s="331" cm="1">
        <f t="array" ref="C7:H7">Transport!C44:H44</f>
        <v>0</v>
      </c>
      <c r="D7" s="331">
        <v>0</v>
      </c>
      <c r="E7" s="331">
        <v>0</v>
      </c>
      <c r="F7" s="331">
        <v>0</v>
      </c>
      <c r="G7" s="331">
        <v>0</v>
      </c>
      <c r="H7" s="331">
        <v>0</v>
      </c>
      <c r="I7" s="271"/>
    </row>
    <row r="8" spans="1:9" ht="14.25" customHeight="1">
      <c r="A8" s="831" t="s">
        <v>583</v>
      </c>
      <c r="B8" s="353" t="s">
        <v>516</v>
      </c>
      <c r="C8" s="331" cm="1">
        <f t="array" ref="C8:H8">Transport!C48:H48</f>
        <v>0</v>
      </c>
      <c r="D8" s="331">
        <v>0</v>
      </c>
      <c r="E8" s="331">
        <v>0</v>
      </c>
      <c r="F8" s="331">
        <v>0</v>
      </c>
      <c r="G8" s="331">
        <v>0</v>
      </c>
      <c r="H8" s="331">
        <v>0</v>
      </c>
    </row>
    <row r="9" spans="1:9" ht="14.25" customHeight="1">
      <c r="A9" s="831" t="s">
        <v>52</v>
      </c>
      <c r="B9" s="353" t="s">
        <v>5</v>
      </c>
      <c r="C9" s="354" cm="1">
        <f t="array" ref="C9:H9">Tunneldaten!E13:J13</f>
        <v>0</v>
      </c>
      <c r="D9" s="354">
        <v>0</v>
      </c>
      <c r="E9" s="354">
        <v>0</v>
      </c>
      <c r="F9" s="354">
        <v>0</v>
      </c>
      <c r="G9" s="354">
        <v>0</v>
      </c>
      <c r="H9" s="354">
        <v>0</v>
      </c>
    </row>
    <row r="10" spans="1:9" ht="14.25" customHeight="1">
      <c r="A10" s="835" t="s">
        <v>508</v>
      </c>
      <c r="B10" s="356" t="s">
        <v>54</v>
      </c>
      <c r="C10" s="584" t="str" cm="1">
        <f t="array" ref="C10">IF(C9=1,Tunneldaten!$E$57:$E$59,IF(C9=2,Tunneldaten!$F$57:$F$59,IF(C9=3,Tunneldaten!E57:E59,IF(C9=4,Tunneldaten!$H$57:$H$59,""))))</f>
        <v/>
      </c>
      <c r="D10" s="584" t="str" cm="1">
        <f t="array" ref="D10">IF(D9=1,Tunneldaten!$E$57:$E$59,IF(D9=2,Tunneldaten!$F$57:$F$59,IF(D9=3,Tunneldaten!F57:F59,IF(D9=4,Tunneldaten!$H$57:$H$59,""))))</f>
        <v/>
      </c>
      <c r="E10" s="584" t="str" cm="1">
        <f t="array" ref="E10">IF(E9=1,Tunneldaten!$E$57:$E$59,IF(E9=2,Tunneldaten!$F$57:$F$59,IF(E9=3,Tunneldaten!G57:G59,IF(E9=4,Tunneldaten!$H$57:$H$59,""))))</f>
        <v/>
      </c>
      <c r="F10" s="584" t="str" cm="1">
        <f t="array" ref="F10">IF(F9=1,Tunneldaten!$E$57:$E$59,IF(F9=2,Tunneldaten!$F$57:$F$59,IF(F9=3,Tunneldaten!H57:H59,IF(F9=4,Tunneldaten!$H$57:$H$59,""))))</f>
        <v/>
      </c>
      <c r="G10" s="584" t="str" cm="1">
        <f t="array" ref="G10">IF(G9=1,Tunneldaten!$E$57:$E$59,IF(G9=2,Tunneldaten!$F$57:$F$59,IF(G9=3,Tunneldaten!I57:I59,IF(G9=4,Tunneldaten!$H$57:$H$59,""))))</f>
        <v/>
      </c>
      <c r="H10" s="584" t="str" cm="1">
        <f t="array" ref="H10">IF(H9=1,Tunneldaten!$E$57:$E$59,IF(H9=2,Tunneldaten!$F$57:$F$59,IF(H9=3,Tunneldaten!J57:J59,IF(H9=4,Tunneldaten!$H$57:$H$59,""))))</f>
        <v/>
      </c>
    </row>
    <row r="11" spans="1:9" ht="14.25" customHeight="1">
      <c r="A11" s="837" t="s">
        <v>509</v>
      </c>
      <c r="B11" s="365" t="s">
        <v>54</v>
      </c>
      <c r="C11" s="581"/>
      <c r="D11" s="581"/>
      <c r="E11" s="581"/>
      <c r="F11" s="581"/>
      <c r="G11" s="581"/>
      <c r="H11" s="581"/>
    </row>
    <row r="12" spans="1:9" ht="14.25" customHeight="1">
      <c r="A12" s="836" t="s">
        <v>510</v>
      </c>
      <c r="B12" s="359" t="s">
        <v>54</v>
      </c>
      <c r="C12" s="585"/>
      <c r="D12" s="585"/>
      <c r="E12" s="585"/>
      <c r="F12" s="585"/>
      <c r="G12" s="585"/>
      <c r="H12" s="585"/>
    </row>
    <row r="13" spans="1:9" ht="14.25" customHeight="1">
      <c r="A13" s="835" t="s">
        <v>511</v>
      </c>
      <c r="B13" s="356" t="s">
        <v>54</v>
      </c>
      <c r="C13" s="584" t="str" cm="1">
        <f t="array" ref="C13">IF(C9=1,Tunneldaten!$E$61:$E$63,IF(C9=2,Tunneldaten!$F$61:$F$63,IF(C9=3,Tunneldaten!E61:E63,IF(C9=4,Tunneldaten!$H$61:$H$63,""))))</f>
        <v/>
      </c>
      <c r="D13" s="584" t="str" cm="1">
        <f t="array" ref="D13">IF(D9=1,Tunneldaten!$E$61:$E$63,IF(D9=2,Tunneldaten!$F$61:$F$63,IF(D9=3,Tunneldaten!F61:F63,IF(D9=4,Tunneldaten!$H$61:$H$63,""))))</f>
        <v/>
      </c>
      <c r="E13" s="584" t="str" cm="1">
        <f t="array" ref="E13">IF(E9=1,Tunneldaten!$E$61:$E$63,IF(E9=2,Tunneldaten!$F$61:$F$63,IF(E9=3,Tunneldaten!G61:G63,IF(E9=4,Tunneldaten!$H$61:$H$63,""))))</f>
        <v/>
      </c>
      <c r="F13" s="584" t="str" cm="1">
        <f t="array" ref="F13">IF(F9=1,Tunneldaten!$E$61:$E$63,IF(F9=2,Tunneldaten!$F$61:$F$63,IF(F9=3,Tunneldaten!H61:H63,IF(F9=4,Tunneldaten!$H$61:$H$63,""))))</f>
        <v/>
      </c>
      <c r="G13" s="584" t="str" cm="1">
        <f t="array" ref="G13">IF(G9=1,Tunneldaten!$E$61:$E$63,IF(G9=2,Tunneldaten!$F$61:$F$63,IF(G9=3,Tunneldaten!I61:I63,IF(G9=4,Tunneldaten!$H$61:$H$63,""))))</f>
        <v/>
      </c>
      <c r="H13" s="584" t="str" cm="1">
        <f t="array" ref="H13">IF(H9=1,Tunneldaten!$E$61:$E$63,IF(H9=2,Tunneldaten!$F$61:$F$63,IF(H9=3,Tunneldaten!J61:J63,IF(H9=4,Tunneldaten!$H$61:$H$63,""))))</f>
        <v/>
      </c>
    </row>
    <row r="14" spans="1:9" ht="14.25" customHeight="1">
      <c r="A14" s="837" t="s">
        <v>512</v>
      </c>
      <c r="B14" s="365" t="s">
        <v>54</v>
      </c>
      <c r="C14" s="581"/>
      <c r="D14" s="581"/>
      <c r="E14" s="581"/>
      <c r="F14" s="581"/>
      <c r="G14" s="581"/>
      <c r="H14" s="581"/>
    </row>
    <row r="15" spans="1:9" ht="14.25" customHeight="1">
      <c r="A15" s="836" t="s">
        <v>513</v>
      </c>
      <c r="B15" s="359" t="s">
        <v>54</v>
      </c>
      <c r="C15" s="585"/>
      <c r="D15" s="585"/>
      <c r="E15" s="585"/>
      <c r="F15" s="585"/>
      <c r="G15" s="585"/>
      <c r="H15" s="585"/>
    </row>
    <row r="16" spans="1:9" ht="14.25" customHeight="1">
      <c r="B16" s="6"/>
      <c r="C16" s="558"/>
      <c r="D16" s="558"/>
      <c r="E16" s="558"/>
      <c r="F16" s="558"/>
      <c r="G16" s="558"/>
      <c r="H16" s="558"/>
    </row>
    <row r="17" spans="1:10" ht="14.25" customHeight="1">
      <c r="A17" s="307" t="s">
        <v>584</v>
      </c>
      <c r="B17" s="24"/>
      <c r="C17" s="306" t="s">
        <v>46</v>
      </c>
      <c r="D17" s="306" t="s">
        <v>498</v>
      </c>
      <c r="E17" s="306" t="s">
        <v>499</v>
      </c>
      <c r="F17" s="306" t="s">
        <v>500</v>
      </c>
      <c r="G17" s="306" t="s">
        <v>501</v>
      </c>
      <c r="H17" s="306" t="s">
        <v>502</v>
      </c>
      <c r="I17" s="306" t="s">
        <v>579</v>
      </c>
    </row>
    <row r="18" spans="1:10" ht="8.25" customHeight="1">
      <c r="C18" s="317"/>
      <c r="D18" s="321"/>
      <c r="E18" s="317"/>
      <c r="F18" s="317"/>
      <c r="G18" s="322"/>
      <c r="H18" s="317"/>
      <c r="I18" s="317"/>
      <c r="J18" s="6"/>
    </row>
    <row r="19" spans="1:10" ht="14.25" customHeight="1">
      <c r="A19" s="835" t="s">
        <v>585</v>
      </c>
      <c r="B19" s="356" t="s">
        <v>175</v>
      </c>
      <c r="C19" s="323">
        <f>ROUND(IF(C5="TBM",C7*Parameter!$C$128,0)+IF(C5="MUL",C7*Parameter!$C$124,0)+IF(C5="MUF",C7*Parameter!$C$126,0)+IF(C5="SPV",C7*Parameter!$C$129,0)+IF(AND(C5="SM",C6="Mechanisch"),C7*Parameter!$C$131,0)+IF(AND(C5="SM",C6="Erddruck"),C7*Parameter!$C$132,0)+IF(AND(C5="SM",C6="Flüssigkeit"),C7*Parameter!$C$133,0),0)</f>
        <v>0</v>
      </c>
      <c r="D19" s="323">
        <f>ROUND(IF(D5="TBM",D7*Parameter!$C$128,0)+IF(D5="MUL",D7*Parameter!$C$124,0)+IF(D5="MUF",D7*Parameter!$C$126,0)+IF(D5="SPV",D7*Parameter!$C$129,0)+IF(AND(D5="SM",D6="Mechanisch"),D7*Parameter!$C$131,0)+IF(AND(D5="SM",D6="Erddruck"),D7*Parameter!$C$132,0)+IF(AND(D5="SM",D6="Flüssigkeit"),D7*Parameter!$C$133,0),0)</f>
        <v>0</v>
      </c>
      <c r="E19" s="323">
        <f>ROUND(IF(E5="TBM",E7*Parameter!$C$128,0)+IF(E5="MUL",E7*Parameter!$C$124,0)+IF(E5="MUF",E7*Parameter!$C$126,0)+IF(E5="SPV",E7*Parameter!$C$129,0)+IF(AND(E5="SM",E6="Mechanisch"),E7*Parameter!$C$131,0)+IF(AND(E5="SM",E6="Erddruck"),E7*Parameter!$C$132,0)+IF(AND(E5="SM",E6="Flüssigkeit"),E7*Parameter!$C$133,0),0)</f>
        <v>0</v>
      </c>
      <c r="F19" s="323">
        <f>ROUND(IF(F5="TBM",F7*Parameter!$C$128,0)+IF(F5="MUL",F7*Parameter!$C$124,0)+IF(F5="MUF",F7*Parameter!$C$126,0)+IF(F5="SPV",F7*Parameter!$C$129,0)+IF(AND(F5="SM",F6="Mechanisch"),F7*Parameter!$C$131,0)+IF(AND(F5="SM",F6="Erddruck"),F7*Parameter!$C$132,0)+IF(AND(F5="SM",F6="Flüssigkeit"),F7*Parameter!$C$133,0),0)</f>
        <v>0</v>
      </c>
      <c r="G19" s="323">
        <f>ROUND(IF(G5="TBM",G7*Parameter!$C$128,0)+IF(G5="MUL",G7*Parameter!$C$124,0)+IF(G5="MUF",G7*Parameter!$C$126,0)+IF(G5="SPV",G7*Parameter!$C$129,0)+IF(AND(G5="SM",G6="Mechanisch"),G7*Parameter!$C$131,0)+IF(AND(G5="SM",G6="Erddruck"),G7*Parameter!$C$132,0)+IF(AND(G5="SM",G6="Flüssigkeit"),G7*Parameter!$C$133,0),0)</f>
        <v>0</v>
      </c>
      <c r="H19" s="323">
        <f>ROUND(IF(H5="TBM",H7*Parameter!$C$128,0)+IF(H5="MUL",H7*Parameter!$C$124,0)+IF(H5="MUF",H7*Parameter!$C$126,0)+IF(H5="SPV",H7*Parameter!$C$129,0)+IF(AND(H5="SM",H6="Mechanisch"),H7*Parameter!$C$131,0)+IF(AND(H5="SM",H6="Erddruck"),H7*Parameter!$C$132,0)+IF(AND(H5="SM",H6="Flüssigkeit"),H7*Parameter!$C$133,0),0)</f>
        <v>0</v>
      </c>
      <c r="I19" s="476">
        <f t="shared" ref="I19:I26" si="0">SUM(C19:H19)</f>
        <v>0</v>
      </c>
    </row>
    <row r="20" spans="1:10" ht="14.25" customHeight="1">
      <c r="A20" s="838" t="s">
        <v>586</v>
      </c>
      <c r="B20" s="592" t="s">
        <v>356</v>
      </c>
      <c r="C20" s="328">
        <f>ROUND(IF(C5="SPV",C7*Parameter!$C$130,0)+IF(C5="MUL",C7*Parameter!$C$125,0)+IF(C5="MUF",C7*Parameter!$C$127,0),0)</f>
        <v>0</v>
      </c>
      <c r="D20" s="328">
        <f>ROUND(IF(D5="SPV",D7*Parameter!$C$130,0)+IF(D5="MUL",D7*Parameter!$C$125,0)+IF(D5="MUF",D7*Parameter!$C$127,0),0)</f>
        <v>0</v>
      </c>
      <c r="E20" s="328">
        <f>ROUND(IF(E5="SPV",E7*Parameter!$C$130,0)+IF(E5="MUL",E7*Parameter!$C$125,0)+IF(E5="MUF",E7*Parameter!$C$127,0),0)</f>
        <v>0</v>
      </c>
      <c r="F20" s="328">
        <f>ROUND(IF(F5="SPV",F7*Parameter!$C$130,0)+IF(F5="MUL",F7*Parameter!$C$125,0)+IF(F5="MUF",F7*Parameter!$C$127,0),0)</f>
        <v>0</v>
      </c>
      <c r="G20" s="328">
        <f>ROUND(IF(G5="SPV",G7*Parameter!$C$130,0)+IF(G5="MUL",G7*Parameter!$C$125,0)+IF(G5="MUF",G7*Parameter!$C$127,0),0)</f>
        <v>0</v>
      </c>
      <c r="H20" s="328">
        <f>ROUND(IF(H5="SPV",H7*Parameter!$C$130,0)+IF(H5="MUL",H7*Parameter!$C$125,0)+IF(H5="MUF",H7*Parameter!$C$127,0),0)</f>
        <v>0</v>
      </c>
      <c r="I20" s="477">
        <f t="shared" si="0"/>
        <v>0</v>
      </c>
    </row>
    <row r="21" spans="1:10" ht="14.25" customHeight="1">
      <c r="A21" s="835" t="s">
        <v>587</v>
      </c>
      <c r="B21" s="356" t="s">
        <v>175</v>
      </c>
      <c r="C21" s="323">
        <f>ROUND(IF(OR(C5="TBM",C5="SM"),C7*Parameter!$C$134,Parameter!$C$135*C7),0)</f>
        <v>0</v>
      </c>
      <c r="D21" s="323">
        <f>ROUND(IF(OR(D5="TBM",D5="SM"),D7*Parameter!$C$134,Parameter!$C$135*D7),0)</f>
        <v>0</v>
      </c>
      <c r="E21" s="323">
        <f>ROUND(IF(OR(E5="TBM",E5="SM"),E7*Parameter!$C$134,Parameter!$C$135*E7),0)</f>
        <v>0</v>
      </c>
      <c r="F21" s="323">
        <f>ROUND(IF(OR(F5="TBM",F5="SM"),F7*Parameter!$C$134,Parameter!$C$135*F7),0)</f>
        <v>0</v>
      </c>
      <c r="G21" s="323">
        <f>ROUND(IF(OR(G5="TBM",G5="SM"),G7*Parameter!$C$134,Parameter!$C$135*G7),0)</f>
        <v>0</v>
      </c>
      <c r="H21" s="323">
        <f>ROUND(IF(OR(H5="TBM",H5="SM"),H7*Parameter!$C$134,Parameter!$C$135*H7),0)</f>
        <v>0</v>
      </c>
      <c r="I21" s="476">
        <f t="shared" si="0"/>
        <v>0</v>
      </c>
    </row>
    <row r="22" spans="1:10" ht="14.25" customHeight="1">
      <c r="A22" s="836" t="s">
        <v>588</v>
      </c>
      <c r="B22" s="359" t="s">
        <v>356</v>
      </c>
      <c r="C22" s="328">
        <f>ROUND(IF(OR(C5="MUL",C5="MUF",C5="SPV"),C8*Parameter!$C$136,),0)</f>
        <v>0</v>
      </c>
      <c r="D22" s="328">
        <f>ROUND(IF(OR(D5="MUL",D5="MUF",D5="SPV"),D8*Parameter!$C$136,),0)</f>
        <v>0</v>
      </c>
      <c r="E22" s="328">
        <f>ROUND(IF(OR(E5="MUL",E5="MUF",E5="SPV"),E8*Parameter!$C$136,),0)</f>
        <v>0</v>
      </c>
      <c r="F22" s="328">
        <f>ROUND(IF(OR(F5="MUL",F5="MUF",F5="SPV"),F8*Parameter!$C$136,),0)</f>
        <v>0</v>
      </c>
      <c r="G22" s="328">
        <f>ROUND(IF(OR(G5="MUL",G5="MUF",G5="SPV"),G8*Parameter!$C$136,),0)</f>
        <v>0</v>
      </c>
      <c r="H22" s="328">
        <f>ROUND(IF(OR(H5="MUL",H5="MUF",H5="SPV"),H8*Parameter!$C$136,),0)</f>
        <v>0</v>
      </c>
      <c r="I22" s="477">
        <f t="shared" si="0"/>
        <v>0</v>
      </c>
    </row>
    <row r="23" spans="1:10" ht="14.25" customHeight="1">
      <c r="A23" s="835" t="s">
        <v>589</v>
      </c>
      <c r="B23" s="356" t="s">
        <v>175</v>
      </c>
      <c r="C23" s="323">
        <f>ROUND(IFERROR((C10+C14)/100*C7*Parameter!$C$139,0),0)</f>
        <v>0</v>
      </c>
      <c r="D23" s="323">
        <f>ROUND(IFERROR((D10+D14)/100*D7*Parameter!$C$139,0),0)</f>
        <v>0</v>
      </c>
      <c r="E23" s="323">
        <f>ROUND(IFERROR((E10+E14)/100*E7*Parameter!$C$139,0),0)</f>
        <v>0</v>
      </c>
      <c r="F23" s="323">
        <f>ROUND(IFERROR((F10+F14)/100*F7*Parameter!$C$139,0),0)</f>
        <v>0</v>
      </c>
      <c r="G23" s="323">
        <f>ROUND(IFERROR((G10+G14)/100*G7*Parameter!$C$139,0),0)</f>
        <v>0</v>
      </c>
      <c r="H23" s="323">
        <f>ROUND(IFERROR((H10+H14)/100*H7*Parameter!$C$139,0),0)</f>
        <v>0</v>
      </c>
      <c r="I23" s="476">
        <f t="shared" si="0"/>
        <v>0</v>
      </c>
    </row>
    <row r="24" spans="1:10" ht="14.25" customHeight="1">
      <c r="A24" s="837" t="s">
        <v>377</v>
      </c>
      <c r="B24" s="365" t="s">
        <v>175</v>
      </c>
      <c r="C24" s="531">
        <f>ROUND(IFERROR(C11/100*C7*Parameter!$C$137,0),0)</f>
        <v>0</v>
      </c>
      <c r="D24" s="531">
        <f>ROUND(IFERROR(D11/100*D7*Parameter!$C$137,0),0)</f>
        <v>0</v>
      </c>
      <c r="E24" s="531">
        <f>ROUND(IFERROR(E11/100*E7*Parameter!$C$137,0),0)</f>
        <v>0</v>
      </c>
      <c r="F24" s="531">
        <f>ROUND(IFERROR(F11/100*F7*Parameter!$C$137,0),0)</f>
        <v>0</v>
      </c>
      <c r="G24" s="531">
        <f>ROUND(IFERROR(G11/100*G7*Parameter!$C$137,0),0)</f>
        <v>0</v>
      </c>
      <c r="H24" s="531">
        <f>ROUND(IFERROR(H11/100*H7*Parameter!$C$137,0),0)</f>
        <v>0</v>
      </c>
      <c r="I24" s="593">
        <f t="shared" si="0"/>
        <v>0</v>
      </c>
    </row>
    <row r="25" spans="1:10" ht="14.25" customHeight="1">
      <c r="A25" s="837" t="s">
        <v>114</v>
      </c>
      <c r="B25" s="365" t="s">
        <v>175</v>
      </c>
      <c r="C25" s="531">
        <f>ROUND(IFERROR((C13+C12)/100*C7*Parameter!$C$138,0),0)</f>
        <v>0</v>
      </c>
      <c r="D25" s="531">
        <f>ROUND(IFERROR((D13+D12)/100*D7*Parameter!$C$138,0),0)</f>
        <v>0</v>
      </c>
      <c r="E25" s="531">
        <f>ROUND(IFERROR((E13+E12)/100*E7*Parameter!$C$138,0),0)</f>
        <v>0</v>
      </c>
      <c r="F25" s="531">
        <f>ROUND(IFERROR((F13+F12)/100*F7*Parameter!$C$138,0),0)</f>
        <v>0</v>
      </c>
      <c r="G25" s="531">
        <f>ROUND(IFERROR((G13+G12)/100*G7*Parameter!$C$138,0),0)</f>
        <v>0</v>
      </c>
      <c r="H25" s="531">
        <f>ROUND(IFERROR((H13+H12)/100*H7*Parameter!$C$138,0),0)</f>
        <v>0</v>
      </c>
      <c r="I25" s="593">
        <f t="shared" si="0"/>
        <v>0</v>
      </c>
    </row>
    <row r="26" spans="1:10" ht="14.25" customHeight="1">
      <c r="A26" s="836" t="s">
        <v>116</v>
      </c>
      <c r="B26" s="359" t="s">
        <v>175</v>
      </c>
      <c r="C26" s="328">
        <f>ROUND(IFERROR(C15/100*C7*Parameter!$C$140,0),1)</f>
        <v>0</v>
      </c>
      <c r="D26" s="328">
        <f>ROUND(IFERROR(D15/100*D7*Parameter!$C$140,0),1)</f>
        <v>0</v>
      </c>
      <c r="E26" s="328">
        <f>ROUND(IFERROR(E15/100*E7*Parameter!$C$140,0),1)</f>
        <v>0</v>
      </c>
      <c r="F26" s="328">
        <f>ROUND(IFERROR(F15/100*F7*Parameter!$C$140,0),1)</f>
        <v>0</v>
      </c>
      <c r="G26" s="328">
        <f>ROUND(IFERROR(G15/100*G7*Parameter!$C$140,0),1)</f>
        <v>0</v>
      </c>
      <c r="H26" s="328">
        <f>ROUND(IFERROR(H15/100*H7*Parameter!$C$140,0),1)</f>
        <v>0</v>
      </c>
      <c r="I26" s="477">
        <f t="shared" si="0"/>
        <v>0</v>
      </c>
    </row>
    <row r="28" spans="1:10" ht="14.25" customHeight="1">
      <c r="A28" s="307" t="s">
        <v>580</v>
      </c>
      <c r="B28" s="24"/>
      <c r="C28" s="306" t="s">
        <v>369</v>
      </c>
    </row>
    <row r="29" spans="1:10" ht="8.25" customHeight="1">
      <c r="C29" s="317"/>
      <c r="J29" s="6"/>
    </row>
    <row r="30" spans="1:10" ht="14.25" customHeight="1">
      <c r="A30" s="835" t="s">
        <v>585</v>
      </c>
      <c r="B30" s="356" t="s">
        <v>175</v>
      </c>
      <c r="C30" s="323">
        <f>I19*AnzahlRöhren</f>
        <v>0</v>
      </c>
    </row>
    <row r="31" spans="1:10" ht="14.25" customHeight="1">
      <c r="A31" s="836" t="s">
        <v>586</v>
      </c>
      <c r="B31" s="359" t="s">
        <v>356</v>
      </c>
      <c r="C31" s="328">
        <f>I20*AnzahlRöhren</f>
        <v>0</v>
      </c>
    </row>
    <row r="32" spans="1:10" ht="14.25" customHeight="1">
      <c r="A32" s="839" t="s">
        <v>587</v>
      </c>
      <c r="B32" s="362" t="s">
        <v>175</v>
      </c>
      <c r="C32" s="323">
        <f>I21*AnzahlRöhren</f>
        <v>0</v>
      </c>
    </row>
    <row r="33" spans="1:4" ht="14.25" customHeight="1">
      <c r="A33" s="839" t="s">
        <v>588</v>
      </c>
      <c r="B33" s="362" t="s">
        <v>356</v>
      </c>
      <c r="C33" s="328">
        <f>I22*AnzahlRöhren</f>
        <v>0</v>
      </c>
    </row>
    <row r="34" spans="1:4" ht="14.25" customHeight="1">
      <c r="A34" s="831" t="s">
        <v>590</v>
      </c>
      <c r="B34" s="353" t="s">
        <v>175</v>
      </c>
      <c r="C34" s="328">
        <f>SUM(I23:I26)*AnzahlRöhren</f>
        <v>0</v>
      </c>
    </row>
    <row r="35" spans="1:4" ht="14.25" customHeight="1">
      <c r="B35" s="6"/>
    </row>
    <row r="36" spans="1:4" ht="14.25" customHeight="1">
      <c r="A36" s="478" t="s">
        <v>169</v>
      </c>
      <c r="B36" s="478"/>
      <c r="C36" s="485" t="s">
        <v>574</v>
      </c>
      <c r="D36" s="485" t="s">
        <v>175</v>
      </c>
    </row>
    <row r="37" spans="1:4" ht="8.25" customHeight="1">
      <c r="C37" s="511"/>
      <c r="D37" s="511"/>
    </row>
    <row r="38" spans="1:4" ht="14.25" customHeight="1">
      <c r="A38" s="605" t="s">
        <v>163</v>
      </c>
      <c r="B38" s="479" t="s">
        <v>5</v>
      </c>
      <c r="C38" s="480">
        <f>ROUND($C$31*Parameter!C119+$C$30*Parameter!C114,0)</f>
        <v>0</v>
      </c>
      <c r="D38" s="480">
        <f>ROUND($C$31*Parameter!E119+$C$30*Parameter!E114,0)</f>
        <v>0</v>
      </c>
    </row>
    <row r="39" spans="1:4" ht="14.25" customHeight="1">
      <c r="A39" s="606" t="s">
        <v>576</v>
      </c>
      <c r="B39" s="481" t="s">
        <v>5</v>
      </c>
      <c r="C39" s="482">
        <f>ROUND($C$33*Parameter!C119+$C$32*Parameter!C114,0)</f>
        <v>0</v>
      </c>
      <c r="D39" s="482">
        <f>ROUND($C$33*Parameter!E119+$C$32*Parameter!E114,0)</f>
        <v>0</v>
      </c>
    </row>
    <row r="40" spans="1:4" ht="14.25" customHeight="1">
      <c r="A40" s="607" t="s">
        <v>104</v>
      </c>
      <c r="B40" s="483" t="s">
        <v>5</v>
      </c>
      <c r="C40" s="484">
        <f>ROUND($C$34*Parameter!C114,0)</f>
        <v>0</v>
      </c>
      <c r="D40" s="484">
        <f>ROUND($C$34*Parameter!E114,0)</f>
        <v>0</v>
      </c>
    </row>
  </sheetData>
  <sheetProtection algorithmName="SHA-512" hashValue="10Dqh9r4qbpEr/zyf+y6JfpttpJv2xbhchsvE+79Gh+YpQz7gXsQ/uWQnMKe+fCj9QmYQWZmFImUIqwDQLM5RA==" saltValue="xvcpH9oS6aeVveRCZPWEag==" spinCount="100000" sheet="1" objects="1" scenarios="1"/>
  <mergeCells count="1">
    <mergeCell ref="A1:C1"/>
  </mergeCells>
  <conditionalFormatting sqref="D5:D9 D11:D12 D14:D15">
    <cfRule type="expression" dxfId="6" priority="7">
      <formula>$D$5=0</formula>
    </cfRule>
  </conditionalFormatting>
  <conditionalFormatting sqref="E5:E9">
    <cfRule type="expression" dxfId="5" priority="6">
      <formula>$E$5=0</formula>
    </cfRule>
  </conditionalFormatting>
  <conditionalFormatting sqref="E11:H12 E14:H15">
    <cfRule type="expression" dxfId="4" priority="2">
      <formula>$E$5=0</formula>
    </cfRule>
  </conditionalFormatting>
  <conditionalFormatting sqref="F5:F8">
    <cfRule type="expression" dxfId="3" priority="5">
      <formula>$F$5=0</formula>
    </cfRule>
  </conditionalFormatting>
  <conditionalFormatting sqref="F9:H9">
    <cfRule type="expression" dxfId="2" priority="1">
      <formula>$E$5=0</formula>
    </cfRule>
  </conditionalFormatting>
  <conditionalFormatting sqref="G5:G8">
    <cfRule type="expression" dxfId="1" priority="4">
      <formula>$G$5=0</formula>
    </cfRule>
  </conditionalFormatting>
  <conditionalFormatting sqref="H5:H8">
    <cfRule type="expression" dxfId="0" priority="3">
      <formula>$H$5=0</formula>
    </cfRule>
  </conditionalFormatting>
  <pageMargins left="0.7" right="0.7" top="0.78740157499999996" bottom="0.78740157499999996"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7B0AA-6DBB-40BE-AAD0-9E273E00538E}">
  <sheetPr>
    <tabColor rgb="FFFFC000"/>
  </sheetPr>
  <dimension ref="A1:AB76"/>
  <sheetViews>
    <sheetView workbookViewId="0">
      <selection sqref="A1:C1"/>
    </sheetView>
  </sheetViews>
  <sheetFormatPr baseColWidth="10" defaultColWidth="10.85546875" defaultRowHeight="14.25" customHeight="1"/>
  <cols>
    <col min="1" max="1" width="43.7109375" style="5" bestFit="1" customWidth="1"/>
    <col min="2" max="2" width="1.42578125" style="5" customWidth="1"/>
    <col min="3" max="3" width="5.42578125" style="6" customWidth="1"/>
    <col min="4" max="4" width="1.42578125" style="6" customWidth="1"/>
    <col min="5" max="10" width="12.7109375" style="5" customWidth="1"/>
    <col min="11" max="11" width="6.28515625" style="5" customWidth="1"/>
    <col min="12" max="12" width="9.5703125" style="5" customWidth="1"/>
    <col min="13" max="13" width="10.85546875" style="5"/>
    <col min="14" max="14" width="17.140625" style="5" customWidth="1"/>
    <col min="15" max="15" width="7" style="5" customWidth="1"/>
    <col min="16" max="16" width="3" style="6" customWidth="1"/>
    <col min="17" max="19" width="6.5703125" style="5" customWidth="1"/>
    <col min="20" max="21" width="8" style="5" customWidth="1"/>
    <col min="22" max="16384" width="10.85546875" style="5"/>
  </cols>
  <sheetData>
    <row r="1" spans="1:21" ht="14.25" customHeight="1">
      <c r="A1" s="973" t="s">
        <v>18</v>
      </c>
      <c r="B1" s="973"/>
      <c r="C1" s="973"/>
      <c r="D1" s="5"/>
      <c r="L1" s="23"/>
      <c r="M1" s="23"/>
    </row>
    <row r="2" spans="1:21" ht="14.25" customHeight="1" thickBot="1">
      <c r="A2" s="215" t="s">
        <v>19</v>
      </c>
      <c r="B2" s="23"/>
      <c r="C2" s="6" t="s">
        <v>5</v>
      </c>
      <c r="E2" s="31"/>
      <c r="F2" s="76"/>
      <c r="G2" s="76" t="s">
        <v>21</v>
      </c>
      <c r="H2" s="76"/>
      <c r="I2" s="76"/>
      <c r="J2" s="76"/>
      <c r="K2" s="76"/>
      <c r="L2" s="236"/>
      <c r="M2" s="23"/>
    </row>
    <row r="3" spans="1:21" ht="14.25" customHeight="1">
      <c r="A3" s="215" t="s">
        <v>22</v>
      </c>
      <c r="B3" s="23"/>
      <c r="E3" s="45"/>
      <c r="F3" s="76"/>
      <c r="G3" s="76"/>
      <c r="H3" s="76"/>
      <c r="I3" s="76"/>
      <c r="J3" s="76"/>
      <c r="K3" s="76"/>
      <c r="L3" s="236"/>
      <c r="M3" s="23"/>
      <c r="O3" s="986" t="s">
        <v>23</v>
      </c>
      <c r="P3" s="987"/>
      <c r="Q3" s="987"/>
      <c r="R3" s="987"/>
      <c r="S3" s="987"/>
      <c r="T3" s="987"/>
      <c r="U3" s="988"/>
    </row>
    <row r="4" spans="1:21" ht="14.25" customHeight="1">
      <c r="A4" s="218" t="s">
        <v>24</v>
      </c>
      <c r="B4" s="23"/>
      <c r="C4" s="57" t="s">
        <v>25</v>
      </c>
      <c r="E4" s="943"/>
      <c r="F4" s="214"/>
      <c r="G4" s="76"/>
      <c r="H4" s="76"/>
      <c r="I4" s="76"/>
      <c r="J4" s="76"/>
      <c r="K4" s="76"/>
      <c r="L4" s="236"/>
      <c r="M4" s="23"/>
      <c r="O4" s="989"/>
      <c r="P4" s="990"/>
      <c r="Q4" s="990"/>
      <c r="R4" s="990"/>
      <c r="S4" s="990"/>
      <c r="T4" s="990"/>
      <c r="U4" s="991"/>
    </row>
    <row r="5" spans="1:21" ht="14.25" customHeight="1">
      <c r="A5" s="216" t="s">
        <v>26</v>
      </c>
      <c r="B5" s="65"/>
      <c r="C5" s="75" t="s">
        <v>27</v>
      </c>
      <c r="E5" s="49"/>
      <c r="F5" s="961">
        <f>Betriebsjahre_Default</f>
        <v>100</v>
      </c>
      <c r="G5" s="76" t="s">
        <v>28</v>
      </c>
      <c r="H5" s="76"/>
      <c r="I5" s="76"/>
      <c r="J5" s="76"/>
      <c r="K5" s="76"/>
      <c r="L5" s="236"/>
      <c r="M5" s="23"/>
      <c r="O5" s="999" t="s">
        <v>29</v>
      </c>
      <c r="P5" s="1000"/>
      <c r="Q5" s="1000"/>
      <c r="R5" s="1000"/>
      <c r="S5" s="1000"/>
      <c r="T5" s="1000"/>
      <c r="U5" s="1001"/>
    </row>
    <row r="6" spans="1:21" ht="14.25" customHeight="1">
      <c r="A6" s="215" t="s">
        <v>620</v>
      </c>
      <c r="B6" s="23"/>
      <c r="C6" s="6" t="s">
        <v>25</v>
      </c>
      <c r="E6" s="253"/>
      <c r="F6" s="76"/>
      <c r="G6" s="76" t="s">
        <v>31</v>
      </c>
      <c r="H6" s="76"/>
      <c r="I6" s="76"/>
      <c r="J6" s="76"/>
      <c r="K6" s="76"/>
      <c r="L6" s="236"/>
      <c r="M6" s="23"/>
      <c r="O6" s="999"/>
      <c r="P6" s="1000"/>
      <c r="Q6" s="1000"/>
      <c r="R6" s="1000"/>
      <c r="S6" s="1000"/>
      <c r="T6" s="1000"/>
      <c r="U6" s="1001"/>
    </row>
    <row r="7" spans="1:21" ht="14.25" customHeight="1">
      <c r="A7" s="217" t="s">
        <v>32</v>
      </c>
      <c r="B7" s="23"/>
      <c r="C7" s="6" t="s">
        <v>25</v>
      </c>
      <c r="E7" s="253"/>
      <c r="G7" s="259" t="s">
        <v>33</v>
      </c>
      <c r="H7" s="260" t="str">
        <f>IF(ISBLANK(Innendurchmesser),"-",IF(E2="ES",'Bau-Geometrie'!C60,'Bau-Geometrie'!E60))</f>
        <v>-</v>
      </c>
      <c r="I7" s="259" t="s">
        <v>34</v>
      </c>
      <c r="J7" s="260" t="str">
        <f>IF(E2="","Tunnelsystem?",IF(ISBLANK(Innendurchmesser),"-",IF(E2="ES",'Bau-Geometrie'!C59,'Bau-Geometrie'!E59)))</f>
        <v>Tunnelsystem?</v>
      </c>
      <c r="K7" s="257" t="s">
        <v>35</v>
      </c>
      <c r="L7" s="236"/>
      <c r="M7" s="23"/>
      <c r="O7" s="993" t="s">
        <v>36</v>
      </c>
      <c r="P7" s="994"/>
      <c r="Q7" s="994"/>
      <c r="R7" s="994"/>
      <c r="S7" s="994"/>
      <c r="T7" s="994"/>
      <c r="U7" s="995"/>
    </row>
    <row r="8" spans="1:21" ht="14.25" customHeight="1" thickBot="1">
      <c r="A8" s="215" t="s">
        <v>37</v>
      </c>
      <c r="C8" s="6" t="s">
        <v>5</v>
      </c>
      <c r="E8" s="29"/>
      <c r="G8" s="76" t="s">
        <v>38</v>
      </c>
      <c r="H8" s="237"/>
      <c r="I8" s="238"/>
      <c r="J8" s="750" t="s">
        <v>39</v>
      </c>
      <c r="K8" s="751"/>
      <c r="L8" s="963" t="str">
        <f>IFERROR(IF(ISBLANK(E7),"-",Fae),"")</f>
        <v>-</v>
      </c>
      <c r="M8" s="962"/>
      <c r="O8" s="996"/>
      <c r="P8" s="997"/>
      <c r="Q8" s="997"/>
      <c r="R8" s="997"/>
      <c r="S8" s="997"/>
      <c r="T8" s="997"/>
      <c r="U8" s="998"/>
    </row>
    <row r="9" spans="1:21" ht="14.25" customHeight="1">
      <c r="A9" s="215" t="s">
        <v>41</v>
      </c>
      <c r="C9" s="6" t="s">
        <v>5</v>
      </c>
      <c r="E9" s="30"/>
      <c r="F9" s="6"/>
      <c r="G9" s="76" t="s">
        <v>42</v>
      </c>
      <c r="H9" s="76"/>
      <c r="I9" s="76"/>
      <c r="J9" s="76"/>
      <c r="K9" s="76"/>
      <c r="L9" s="76"/>
    </row>
    <row r="10" spans="1:21" ht="8.25" customHeight="1"/>
    <row r="11" spans="1:21" ht="14.25" customHeight="1">
      <c r="A11" s="24" t="s">
        <v>43</v>
      </c>
      <c r="B11" s="24"/>
      <c r="C11" s="32"/>
      <c r="E11" s="1004" t="s">
        <v>44</v>
      </c>
      <c r="F11" s="1005"/>
      <c r="G11" s="1005"/>
      <c r="H11" s="1005"/>
      <c r="I11" s="1005"/>
      <c r="J11" s="1006"/>
      <c r="O11" s="992" t="s">
        <v>45</v>
      </c>
      <c r="P11" s="992"/>
      <c r="Q11" s="992"/>
      <c r="R11" s="992"/>
      <c r="S11" s="992"/>
      <c r="T11" s="992"/>
      <c r="U11" s="992"/>
    </row>
    <row r="12" spans="1:21" ht="14.25" customHeight="1">
      <c r="E12" s="67" t="s">
        <v>46</v>
      </c>
      <c r="F12" s="67" t="str">
        <f>IF($E$8&gt;=2,"B","")</f>
        <v/>
      </c>
      <c r="G12" s="67" t="str">
        <f>IF($E$8&gt;=3,"C","")</f>
        <v/>
      </c>
      <c r="H12" s="67" t="str">
        <f>IF($E$8&gt;=4,"D","")</f>
        <v/>
      </c>
      <c r="I12" s="67" t="str">
        <f>IF($E$8&gt;=5,"E","")</f>
        <v/>
      </c>
      <c r="J12" s="67" t="str">
        <f>IF($E$8&gt;=6,"F","")</f>
        <v/>
      </c>
      <c r="Q12" s="38" t="s">
        <v>47</v>
      </c>
      <c r="R12" s="39" t="s">
        <v>48</v>
      </c>
      <c r="S12" s="39" t="s">
        <v>49</v>
      </c>
      <c r="T12" s="39" t="s">
        <v>50</v>
      </c>
      <c r="U12" s="40" t="s">
        <v>51</v>
      </c>
    </row>
    <row r="13" spans="1:21" ht="14.25" customHeight="1">
      <c r="A13" s="215" t="s">
        <v>52</v>
      </c>
      <c r="C13" s="6" t="s">
        <v>5</v>
      </c>
      <c r="E13" s="45"/>
      <c r="F13" s="45"/>
      <c r="G13" s="45"/>
      <c r="H13" s="45"/>
      <c r="I13" s="45"/>
      <c r="J13" s="45"/>
      <c r="K13" s="76"/>
      <c r="L13" s="76"/>
      <c r="O13" s="35" t="s">
        <v>53</v>
      </c>
      <c r="P13" s="41" t="s">
        <v>54</v>
      </c>
      <c r="Q13" s="244" cm="1">
        <f t="array" ref="Q13:Q17">Listen!U3:U7</f>
        <v>20</v>
      </c>
      <c r="R13" s="245" cm="1">
        <f t="array" ref="R13:R17">Listen!V3:V7</f>
        <v>5</v>
      </c>
      <c r="S13" s="245" cm="1">
        <f t="array" ref="S13:S17">Listen!W3:W7</f>
        <v>0</v>
      </c>
      <c r="T13" s="245">
        <v>0</v>
      </c>
      <c r="U13" s="246" t="s">
        <v>5</v>
      </c>
    </row>
    <row r="14" spans="1:21" ht="14.25" customHeight="1">
      <c r="A14" s="215" t="s">
        <v>55</v>
      </c>
      <c r="C14" s="6" t="s">
        <v>5</v>
      </c>
      <c r="E14" s="29"/>
      <c r="F14" s="29"/>
      <c r="G14" s="29"/>
      <c r="H14" s="29"/>
      <c r="I14" s="29"/>
      <c r="J14" s="29"/>
      <c r="K14" s="76"/>
      <c r="L14" s="76"/>
      <c r="O14" s="36" t="s">
        <v>57</v>
      </c>
      <c r="P14" s="42" t="s">
        <v>54</v>
      </c>
      <c r="Q14" s="247">
        <v>60</v>
      </c>
      <c r="R14" s="248">
        <v>20</v>
      </c>
      <c r="S14" s="248">
        <v>5</v>
      </c>
      <c r="T14" s="248">
        <v>0</v>
      </c>
      <c r="U14" s="249" t="s">
        <v>5</v>
      </c>
    </row>
    <row r="15" spans="1:21" ht="14.25" customHeight="1">
      <c r="A15" s="218" t="s">
        <v>58</v>
      </c>
      <c r="E15" s="69"/>
      <c r="F15" s="69"/>
      <c r="G15" s="69"/>
      <c r="H15" s="69"/>
      <c r="I15" s="69"/>
      <c r="J15" s="69"/>
      <c r="L15" s="76"/>
      <c r="O15" s="36" t="s">
        <v>60</v>
      </c>
      <c r="P15" s="42" t="s">
        <v>54</v>
      </c>
      <c r="Q15" s="247">
        <v>15</v>
      </c>
      <c r="R15" s="248">
        <v>50</v>
      </c>
      <c r="S15" s="248">
        <v>15</v>
      </c>
      <c r="T15" s="248">
        <v>0</v>
      </c>
      <c r="U15" s="249" t="s">
        <v>5</v>
      </c>
    </row>
    <row r="16" spans="1:21" ht="14.25" customHeight="1">
      <c r="A16" s="215" t="s">
        <v>61</v>
      </c>
      <c r="C16" s="6" t="s">
        <v>62</v>
      </c>
      <c r="E16" s="253"/>
      <c r="F16" s="254"/>
      <c r="G16" s="254"/>
      <c r="H16" s="254"/>
      <c r="I16" s="254"/>
      <c r="J16" s="254"/>
      <c r="K16" s="76"/>
      <c r="L16" s="76"/>
      <c r="O16" s="36" t="s">
        <v>63</v>
      </c>
      <c r="P16" s="42" t="s">
        <v>54</v>
      </c>
      <c r="Q16" s="247">
        <v>5</v>
      </c>
      <c r="R16" s="248">
        <v>20</v>
      </c>
      <c r="S16" s="248">
        <v>60</v>
      </c>
      <c r="T16" s="248">
        <v>0</v>
      </c>
      <c r="U16" s="249" t="s">
        <v>5</v>
      </c>
    </row>
    <row r="17" spans="1:28" ht="14.25" customHeight="1">
      <c r="A17" s="215" t="s">
        <v>64</v>
      </c>
      <c r="E17" s="29"/>
      <c r="F17" s="29"/>
      <c r="G17" s="29"/>
      <c r="H17" s="29"/>
      <c r="I17" s="29"/>
      <c r="J17" s="29"/>
      <c r="K17" s="76"/>
      <c r="L17" s="76"/>
      <c r="O17" s="36" t="s">
        <v>65</v>
      </c>
      <c r="P17" s="42" t="s">
        <v>54</v>
      </c>
      <c r="Q17" s="247">
        <v>0</v>
      </c>
      <c r="R17" s="248">
        <v>5</v>
      </c>
      <c r="S17" s="248">
        <v>20</v>
      </c>
      <c r="T17" s="248">
        <v>0</v>
      </c>
      <c r="U17" s="249" t="s">
        <v>5</v>
      </c>
    </row>
    <row r="18" spans="1:28" ht="14.25" customHeight="1">
      <c r="A18" s="240" t="s">
        <v>66</v>
      </c>
      <c r="B18" s="65"/>
      <c r="C18" s="219"/>
      <c r="D18" s="25"/>
      <c r="E18" s="69"/>
      <c r="F18" s="69"/>
      <c r="G18" s="69"/>
      <c r="H18" s="69"/>
      <c r="I18" s="69"/>
      <c r="J18" s="69"/>
      <c r="L18" s="76"/>
      <c r="O18" s="37" t="s">
        <v>67</v>
      </c>
      <c r="P18" s="43" t="s">
        <v>54</v>
      </c>
      <c r="Q18" s="250">
        <v>0</v>
      </c>
      <c r="R18" s="251">
        <v>0</v>
      </c>
      <c r="S18" s="251">
        <v>0</v>
      </c>
      <c r="T18" s="251">
        <v>100</v>
      </c>
      <c r="U18" s="252" t="s">
        <v>5</v>
      </c>
    </row>
    <row r="19" spans="1:28" ht="14.25" customHeight="1">
      <c r="A19" s="241" t="s">
        <v>68</v>
      </c>
      <c r="B19" s="65"/>
      <c r="C19" s="75" t="s">
        <v>54</v>
      </c>
      <c r="D19" s="25"/>
      <c r="E19" s="944"/>
      <c r="F19" s="72"/>
      <c r="G19" s="72"/>
      <c r="H19" s="72"/>
      <c r="I19" s="72"/>
      <c r="J19" s="72"/>
      <c r="L19" s="76" t="s">
        <v>69</v>
      </c>
      <c r="P19" s="5"/>
    </row>
    <row r="20" spans="1:28" ht="14.25" customHeight="1" thickBot="1">
      <c r="A20" s="241" t="s">
        <v>70</v>
      </c>
      <c r="B20" s="65"/>
      <c r="C20" s="75" t="s">
        <v>54</v>
      </c>
      <c r="D20" s="25"/>
      <c r="E20" s="944"/>
      <c r="F20" s="72"/>
      <c r="G20" s="72"/>
      <c r="H20" s="72"/>
      <c r="I20" s="72"/>
      <c r="J20" s="72"/>
      <c r="L20" s="76" t="s">
        <v>71</v>
      </c>
    </row>
    <row r="21" spans="1:28" ht="14.25" customHeight="1">
      <c r="A21" s="241" t="s">
        <v>72</v>
      </c>
      <c r="B21" s="65"/>
      <c r="C21" s="75" t="s">
        <v>54</v>
      </c>
      <c r="D21" s="25"/>
      <c r="E21" s="944"/>
      <c r="F21" s="72"/>
      <c r="G21" s="72"/>
      <c r="H21" s="72"/>
      <c r="I21" s="72"/>
      <c r="J21" s="72"/>
      <c r="K21" s="76"/>
      <c r="L21" s="76"/>
      <c r="P21" s="228"/>
      <c r="Q21" s="229" t="s">
        <v>73</v>
      </c>
      <c r="R21" s="229"/>
      <c r="S21" s="229"/>
      <c r="T21" s="229"/>
      <c r="U21" s="229"/>
      <c r="V21" s="229"/>
      <c r="W21" s="229"/>
      <c r="X21" s="229"/>
      <c r="Y21" s="229"/>
      <c r="Z21" s="229"/>
      <c r="AA21" s="229"/>
      <c r="AB21" s="230"/>
    </row>
    <row r="22" spans="1:28" ht="14.25" customHeight="1">
      <c r="A22" s="241" t="s">
        <v>74</v>
      </c>
      <c r="B22" s="65"/>
      <c r="C22" s="75" t="s">
        <v>54</v>
      </c>
      <c r="D22" s="25"/>
      <c r="E22" s="944"/>
      <c r="F22" s="72"/>
      <c r="G22" s="72"/>
      <c r="H22" s="72"/>
      <c r="I22" s="72"/>
      <c r="J22" s="72"/>
      <c r="K22" s="76"/>
      <c r="L22" s="76"/>
      <c r="P22" s="231"/>
      <c r="AB22" s="232"/>
    </row>
    <row r="23" spans="1:28" ht="14.25" customHeight="1">
      <c r="A23" s="241" t="s">
        <v>75</v>
      </c>
      <c r="B23" s="65"/>
      <c r="C23" s="75" t="s">
        <v>54</v>
      </c>
      <c r="D23" s="25"/>
      <c r="E23" s="944"/>
      <c r="F23" s="72"/>
      <c r="G23" s="72"/>
      <c r="H23" s="71"/>
      <c r="I23" s="71"/>
      <c r="J23" s="71"/>
      <c r="K23" s="76"/>
      <c r="L23" s="76"/>
      <c r="P23" s="231"/>
      <c r="AB23" s="232"/>
    </row>
    <row r="24" spans="1:28" ht="14.25" customHeight="1">
      <c r="A24" s="28" t="s">
        <v>76</v>
      </c>
      <c r="C24" s="25"/>
      <c r="D24" s="25"/>
      <c r="E24" s="70" t="str">
        <f>IF(SUM(E19:E23)&lt;&gt;0,SUM(E19:E23),"")</f>
        <v/>
      </c>
      <c r="F24" s="71" t="str">
        <f t="shared" ref="F24:J24" si="0">IF(SUM(F19:F23)&lt;&gt;0,SUM(F19:F23),"")</f>
        <v/>
      </c>
      <c r="G24" s="71" t="str">
        <f t="shared" si="0"/>
        <v/>
      </c>
      <c r="H24" s="71" t="str">
        <f t="shared" si="0"/>
        <v/>
      </c>
      <c r="I24" s="71" t="str">
        <f t="shared" si="0"/>
        <v/>
      </c>
      <c r="J24" s="72" t="str">
        <f t="shared" si="0"/>
        <v/>
      </c>
      <c r="L24" s="76" t="s">
        <v>77</v>
      </c>
      <c r="P24" s="231"/>
      <c r="AB24" s="232"/>
    </row>
    <row r="25" spans="1:28" ht="14.25" customHeight="1">
      <c r="A25" s="218" t="s">
        <v>78</v>
      </c>
      <c r="C25" s="57" t="s">
        <v>25</v>
      </c>
      <c r="D25" s="27"/>
      <c r="E25" s="941"/>
      <c r="F25" s="941"/>
      <c r="G25" s="941"/>
      <c r="H25" s="941"/>
      <c r="I25" s="941"/>
      <c r="J25" s="942"/>
      <c r="L25" s="76" t="s">
        <v>79</v>
      </c>
      <c r="P25" s="231"/>
      <c r="AB25" s="232"/>
    </row>
    <row r="26" spans="1:28" ht="14.25" customHeight="1">
      <c r="A26" s="218" t="s">
        <v>80</v>
      </c>
      <c r="C26" s="6" t="s">
        <v>25</v>
      </c>
      <c r="E26" s="941"/>
      <c r="F26" s="941"/>
      <c r="G26" s="941"/>
      <c r="H26" s="941"/>
      <c r="I26" s="941"/>
      <c r="J26" s="941"/>
      <c r="L26" s="76" t="s">
        <v>81</v>
      </c>
      <c r="P26" s="231"/>
      <c r="AB26" s="232"/>
    </row>
    <row r="27" spans="1:28" ht="14.25" customHeight="1">
      <c r="A27" s="218" t="s">
        <v>82</v>
      </c>
      <c r="C27" s="6" t="s">
        <v>25</v>
      </c>
      <c r="E27" s="941"/>
      <c r="F27" s="941"/>
      <c r="G27" s="941"/>
      <c r="H27" s="941"/>
      <c r="I27" s="941"/>
      <c r="J27" s="941"/>
      <c r="L27" s="76" t="s">
        <v>79</v>
      </c>
      <c r="P27" s="231"/>
      <c r="AB27" s="232"/>
    </row>
    <row r="28" spans="1:28" ht="14.25" customHeight="1">
      <c r="A28" s="216" t="s">
        <v>83</v>
      </c>
      <c r="B28" s="65"/>
      <c r="C28" s="220" t="s">
        <v>84</v>
      </c>
      <c r="E28" s="941"/>
      <c r="F28" s="941"/>
      <c r="G28" s="941"/>
      <c r="H28" s="941"/>
      <c r="I28" s="941"/>
      <c r="J28" s="941"/>
      <c r="K28" s="1002">
        <f>Parameter!C6</f>
        <v>85</v>
      </c>
      <c r="L28" s="1003"/>
      <c r="P28" s="231"/>
      <c r="AB28" s="232"/>
    </row>
    <row r="29" spans="1:28" ht="14.25" customHeight="1">
      <c r="A29" s="215" t="s">
        <v>85</v>
      </c>
      <c r="C29" s="6" t="s">
        <v>25</v>
      </c>
      <c r="E29" s="68"/>
      <c r="F29" s="68"/>
      <c r="G29" s="68"/>
      <c r="H29" s="68"/>
      <c r="I29" s="68"/>
      <c r="J29" s="68"/>
      <c r="K29" s="76"/>
      <c r="L29" s="76"/>
      <c r="P29" s="231"/>
      <c r="AB29" s="232"/>
    </row>
    <row r="30" spans="1:28" ht="14.25" customHeight="1">
      <c r="A30" s="5" t="s">
        <v>86</v>
      </c>
      <c r="C30" s="6" t="s">
        <v>25</v>
      </c>
      <c r="E30" s="255">
        <f t="shared" ref="E30:J30" si="1">IF(E12&lt;&gt;"",Innendurchmesser+SUM(E$25:E$27,E$29)*2,"")</f>
        <v>0</v>
      </c>
      <c r="F30" s="255" t="str">
        <f t="shared" si="1"/>
        <v/>
      </c>
      <c r="G30" s="255" t="str">
        <f t="shared" si="1"/>
        <v/>
      </c>
      <c r="H30" s="255" t="str">
        <f t="shared" si="1"/>
        <v/>
      </c>
      <c r="I30" s="255" t="str">
        <f t="shared" si="1"/>
        <v/>
      </c>
      <c r="J30" s="255" t="str">
        <f t="shared" si="1"/>
        <v/>
      </c>
      <c r="L30" s="76" t="s">
        <v>87</v>
      </c>
      <c r="P30" s="231"/>
      <c r="AB30" s="232"/>
    </row>
    <row r="31" spans="1:28" ht="14.25" customHeight="1">
      <c r="A31" s="215" t="s">
        <v>88</v>
      </c>
      <c r="C31" s="6" t="s">
        <v>5</v>
      </c>
      <c r="E31" s="73"/>
      <c r="F31" s="73"/>
      <c r="G31" s="73"/>
      <c r="H31" s="73"/>
      <c r="I31" s="73"/>
      <c r="J31" s="73"/>
      <c r="K31" s="76"/>
      <c r="L31" s="76"/>
      <c r="P31" s="231"/>
      <c r="AB31" s="232"/>
    </row>
    <row r="32" spans="1:28" ht="14.25" customHeight="1">
      <c r="A32" s="215" t="s">
        <v>90</v>
      </c>
      <c r="C32" s="6" t="s">
        <v>91</v>
      </c>
      <c r="E32" s="74"/>
      <c r="F32" s="74"/>
      <c r="G32" s="74"/>
      <c r="H32" s="74"/>
      <c r="I32" s="74"/>
      <c r="J32" s="74"/>
      <c r="L32" s="76" t="s">
        <v>635</v>
      </c>
      <c r="P32" s="231"/>
      <c r="AB32" s="232"/>
    </row>
    <row r="33" spans="1:28" ht="8.25" customHeight="1">
      <c r="P33" s="231"/>
      <c r="AB33" s="232"/>
    </row>
    <row r="34" spans="1:28" ht="14.25" customHeight="1">
      <c r="A34" s="33" t="s">
        <v>92</v>
      </c>
      <c r="B34" s="24"/>
      <c r="C34" s="32"/>
      <c r="E34" s="1004" t="s">
        <v>93</v>
      </c>
      <c r="F34" s="1005"/>
      <c r="G34" s="1005"/>
      <c r="H34" s="1006"/>
      <c r="P34" s="231"/>
      <c r="AB34" s="232"/>
    </row>
    <row r="35" spans="1:28" ht="14.25" customHeight="1">
      <c r="A35" s="8" t="s">
        <v>94</v>
      </c>
      <c r="B35" s="8"/>
      <c r="C35" s="34"/>
      <c r="E35" s="67">
        <v>1</v>
      </c>
      <c r="F35" s="67" t="str">
        <f>IF($E$9&gt;=2,2,"")</f>
        <v/>
      </c>
      <c r="G35" s="67" t="str">
        <f>IF($E$9&gt;=3,3,"")</f>
        <v/>
      </c>
      <c r="H35" s="67" t="str">
        <f>IF($E$9&gt;=4,4,"")</f>
        <v/>
      </c>
      <c r="I35" s="76"/>
      <c r="P35" s="231"/>
      <c r="AB35" s="232"/>
    </row>
    <row r="36" spans="1:28" ht="14.25" customHeight="1">
      <c r="A36" s="221" t="s">
        <v>95</v>
      </c>
      <c r="E36" s="66" t="str">
        <f>""</f>
        <v/>
      </c>
      <c r="F36" s="66" t="str">
        <f>""</f>
        <v/>
      </c>
      <c r="G36" s="66"/>
      <c r="H36" s="66"/>
      <c r="I36" s="239"/>
      <c r="P36" s="231"/>
      <c r="AB36" s="232"/>
    </row>
    <row r="37" spans="1:28" ht="14.25" customHeight="1">
      <c r="A37" s="222" t="s">
        <v>96</v>
      </c>
      <c r="B37" s="65"/>
      <c r="C37" s="75" t="s">
        <v>91</v>
      </c>
      <c r="E37" s="45"/>
      <c r="F37" s="45"/>
      <c r="G37" s="45"/>
      <c r="H37" s="45"/>
      <c r="I37" s="960">
        <f>Parameter!C8</f>
        <v>25</v>
      </c>
      <c r="P37" s="231"/>
      <c r="AB37" s="232"/>
    </row>
    <row r="38" spans="1:28" ht="14.25" customHeight="1">
      <c r="A38" s="222" t="s">
        <v>97</v>
      </c>
      <c r="B38" s="65"/>
      <c r="C38" s="75" t="s">
        <v>5</v>
      </c>
      <c r="E38" s="29"/>
      <c r="F38" s="29"/>
      <c r="G38" s="29"/>
      <c r="H38" s="29"/>
      <c r="I38" s="214" t="str">
        <f>Parameter!C9</f>
        <v>Strasse</v>
      </c>
      <c r="J38" s="75"/>
      <c r="P38" s="231"/>
      <c r="AB38" s="232"/>
    </row>
    <row r="39" spans="1:28" ht="14.25" customHeight="1">
      <c r="A39" s="221" t="s">
        <v>98</v>
      </c>
      <c r="E39" s="66"/>
      <c r="F39" s="66"/>
      <c r="G39" s="66"/>
      <c r="H39" s="66"/>
      <c r="I39" s="76"/>
      <c r="J39" s="75"/>
      <c r="P39" s="231"/>
      <c r="AB39" s="232"/>
    </row>
    <row r="40" spans="1:28" ht="14.25" customHeight="1">
      <c r="A40" s="222" t="s">
        <v>96</v>
      </c>
      <c r="B40" s="65"/>
      <c r="C40" s="75" t="s">
        <v>91</v>
      </c>
      <c r="E40" s="45"/>
      <c r="F40" s="45"/>
      <c r="G40" s="45"/>
      <c r="H40" s="45"/>
      <c r="I40" s="960">
        <f>Parameter!C10</f>
        <v>300</v>
      </c>
      <c r="J40" s="75"/>
      <c r="P40" s="231"/>
      <c r="AB40" s="232"/>
    </row>
    <row r="41" spans="1:28" ht="14.25" customHeight="1">
      <c r="A41" s="222" t="s">
        <v>97</v>
      </c>
      <c r="B41" s="65"/>
      <c r="C41" s="75" t="s">
        <v>5</v>
      </c>
      <c r="E41" s="29"/>
      <c r="F41" s="29"/>
      <c r="G41" s="29"/>
      <c r="H41" s="29"/>
      <c r="I41" s="214" t="str">
        <f>Parameter!C11</f>
        <v>Strasse</v>
      </c>
      <c r="J41" s="75"/>
      <c r="P41" s="231"/>
      <c r="AB41" s="232"/>
    </row>
    <row r="42" spans="1:28" ht="14.25" customHeight="1">
      <c r="A42" s="221" t="s">
        <v>99</v>
      </c>
      <c r="E42" s="66"/>
      <c r="F42" s="66"/>
      <c r="G42" s="66"/>
      <c r="H42" s="66"/>
      <c r="I42" s="76"/>
      <c r="J42" s="75"/>
      <c r="P42" s="231"/>
      <c r="AB42" s="232"/>
    </row>
    <row r="43" spans="1:28" ht="14.25" customHeight="1">
      <c r="A43" s="222" t="s">
        <v>96</v>
      </c>
      <c r="B43" s="65"/>
      <c r="C43" s="75" t="s">
        <v>91</v>
      </c>
      <c r="E43" s="45"/>
      <c r="F43" s="45"/>
      <c r="G43" s="45"/>
      <c r="H43" s="45"/>
      <c r="I43" s="960">
        <f>Parameter!C12</f>
        <v>50</v>
      </c>
      <c r="J43" s="75"/>
      <c r="P43" s="231"/>
      <c r="AB43" s="232"/>
    </row>
    <row r="44" spans="1:28" ht="14.25" customHeight="1">
      <c r="A44" s="222" t="s">
        <v>97</v>
      </c>
      <c r="B44" s="65"/>
      <c r="C44" s="75" t="s">
        <v>5</v>
      </c>
      <c r="E44" s="29"/>
      <c r="F44" s="29"/>
      <c r="G44" s="29"/>
      <c r="H44" s="29"/>
      <c r="I44" s="214" t="str">
        <f>Parameter!C13</f>
        <v>Strasse</v>
      </c>
      <c r="J44" s="75"/>
      <c r="P44" s="231"/>
      <c r="AB44" s="232"/>
    </row>
    <row r="45" spans="1:28" ht="14.25" customHeight="1">
      <c r="A45" s="221" t="s">
        <v>100</v>
      </c>
      <c r="E45" s="66"/>
      <c r="F45" s="66"/>
      <c r="G45" s="66"/>
      <c r="H45" s="66"/>
      <c r="I45" s="76"/>
      <c r="J45" s="75"/>
      <c r="P45" s="231"/>
      <c r="AB45" s="232"/>
    </row>
    <row r="46" spans="1:28" ht="14.25" customHeight="1">
      <c r="A46" s="222" t="s">
        <v>96</v>
      </c>
      <c r="B46" s="65"/>
      <c r="C46" s="75" t="s">
        <v>91</v>
      </c>
      <c r="E46" s="45"/>
      <c r="F46" s="45"/>
      <c r="G46" s="45"/>
      <c r="H46" s="45"/>
      <c r="I46" s="960">
        <f>Parameter!C14</f>
        <v>40</v>
      </c>
      <c r="J46" s="75"/>
      <c r="P46" s="231"/>
      <c r="AB46" s="232"/>
    </row>
    <row r="47" spans="1:28" ht="14.25" customHeight="1">
      <c r="A47" s="222" t="s">
        <v>97</v>
      </c>
      <c r="B47" s="65"/>
      <c r="C47" s="75" t="s">
        <v>5</v>
      </c>
      <c r="E47" s="29"/>
      <c r="F47" s="29"/>
      <c r="G47" s="29"/>
      <c r="H47" s="29"/>
      <c r="I47" s="214" t="str">
        <f>Parameter!C15</f>
        <v>Strasse</v>
      </c>
      <c r="J47" s="75"/>
      <c r="P47" s="231"/>
      <c r="AB47" s="232"/>
    </row>
    <row r="48" spans="1:28" ht="14.25" customHeight="1">
      <c r="A48" s="221" t="s">
        <v>50</v>
      </c>
      <c r="B48" s="9"/>
      <c r="C48" s="25"/>
      <c r="E48" s="66"/>
      <c r="F48" s="66"/>
      <c r="G48" s="66"/>
      <c r="H48" s="66"/>
      <c r="I48" s="76"/>
      <c r="J48" s="75"/>
      <c r="P48" s="231"/>
      <c r="AB48" s="232"/>
    </row>
    <row r="49" spans="1:28" ht="14.25" customHeight="1">
      <c r="A49" s="222" t="s">
        <v>96</v>
      </c>
      <c r="B49" s="223"/>
      <c r="C49" s="75" t="s">
        <v>91</v>
      </c>
      <c r="E49" s="45"/>
      <c r="F49" s="45"/>
      <c r="G49" s="45"/>
      <c r="H49" s="45"/>
      <c r="I49" s="960">
        <f>Parameter!C16</f>
        <v>50</v>
      </c>
      <c r="J49" s="75"/>
      <c r="P49" s="231"/>
      <c r="AB49" s="232"/>
    </row>
    <row r="50" spans="1:28" ht="14.25" customHeight="1">
      <c r="A50" s="222" t="s">
        <v>97</v>
      </c>
      <c r="B50" s="223"/>
      <c r="C50" s="219" t="s">
        <v>5</v>
      </c>
      <c r="E50" s="29"/>
      <c r="F50" s="29"/>
      <c r="G50" s="29"/>
      <c r="H50" s="29"/>
      <c r="I50" s="214" t="str">
        <f>Parameter!C17</f>
        <v>Strasse</v>
      </c>
      <c r="J50" s="75"/>
      <c r="P50" s="231"/>
      <c r="AB50" s="232"/>
    </row>
    <row r="51" spans="1:28" ht="14.25" customHeight="1">
      <c r="A51" s="8" t="s">
        <v>101</v>
      </c>
      <c r="B51" s="8"/>
      <c r="C51" s="34"/>
      <c r="E51" s="66"/>
      <c r="F51" s="66"/>
      <c r="G51" s="66"/>
      <c r="H51" s="66"/>
      <c r="I51" s="214"/>
      <c r="P51" s="231"/>
      <c r="AB51" s="232"/>
    </row>
    <row r="52" spans="1:28" ht="14.25" customHeight="1">
      <c r="A52" s="224" t="s">
        <v>102</v>
      </c>
      <c r="B52" s="225"/>
      <c r="C52" s="226" t="s">
        <v>5</v>
      </c>
      <c r="E52" s="29"/>
      <c r="F52" s="29"/>
      <c r="G52" s="29"/>
      <c r="H52" s="29"/>
      <c r="I52" s="214" t="str">
        <f>Parameter!C19</f>
        <v>Pneubetrieb</v>
      </c>
      <c r="P52" s="231"/>
      <c r="AB52" s="232"/>
    </row>
    <row r="53" spans="1:28" ht="14.25" customHeight="1">
      <c r="A53" s="224" t="s">
        <v>103</v>
      </c>
      <c r="B53" s="225"/>
      <c r="C53" s="226" t="s">
        <v>5</v>
      </c>
      <c r="E53" s="30"/>
      <c r="F53" s="30"/>
      <c r="G53" s="30"/>
      <c r="H53" s="30"/>
      <c r="I53" s="214" t="str">
        <f>Parameter!C20</f>
        <v>Pneubetrieb</v>
      </c>
      <c r="P53" s="231"/>
      <c r="AB53" s="232"/>
    </row>
    <row r="54" spans="1:28" ht="8.25" customHeight="1">
      <c r="P54" s="231"/>
      <c r="AB54" s="232"/>
    </row>
    <row r="55" spans="1:28" ht="14.25" customHeight="1">
      <c r="A55" s="24" t="s">
        <v>104</v>
      </c>
      <c r="B55" s="24"/>
      <c r="C55" s="32"/>
      <c r="E55" s="1004" t="s">
        <v>93</v>
      </c>
      <c r="F55" s="1005"/>
      <c r="G55" s="1005"/>
      <c r="H55" s="1006"/>
      <c r="P55" s="231"/>
      <c r="AB55" s="232"/>
    </row>
    <row r="56" spans="1:28" ht="14.25" customHeight="1">
      <c r="A56" s="5" t="s">
        <v>105</v>
      </c>
      <c r="E56" s="67">
        <v>1</v>
      </c>
      <c r="F56" s="67" t="str">
        <f>IF($E$9&gt;=2,2,"")</f>
        <v/>
      </c>
      <c r="G56" s="67" t="str">
        <f>IF($E$9&gt;=3,3,"")</f>
        <v/>
      </c>
      <c r="H56" s="67" t="str">
        <f>IF($E$9&gt;=4,4,"")</f>
        <v/>
      </c>
      <c r="P56" s="231"/>
      <c r="AB56" s="232"/>
    </row>
    <row r="57" spans="1:28" ht="14.25" customHeight="1">
      <c r="A57" s="227" t="s">
        <v>106</v>
      </c>
      <c r="C57" s="6" t="s">
        <v>54</v>
      </c>
      <c r="E57" s="31"/>
      <c r="F57" s="31"/>
      <c r="G57" s="31"/>
      <c r="H57" s="31"/>
      <c r="P57" s="231"/>
      <c r="AB57" s="232"/>
    </row>
    <row r="58" spans="1:28" ht="14.25" customHeight="1">
      <c r="A58" s="227" t="s">
        <v>107</v>
      </c>
      <c r="C58" s="6" t="s">
        <v>54</v>
      </c>
      <c r="E58" s="45"/>
      <c r="F58" s="45"/>
      <c r="G58" s="45"/>
      <c r="H58" s="45"/>
      <c r="P58" s="231"/>
      <c r="AB58" s="232"/>
    </row>
    <row r="59" spans="1:28" ht="14.25" customHeight="1">
      <c r="A59" s="227" t="s">
        <v>108</v>
      </c>
      <c r="C59" s="6" t="s">
        <v>54</v>
      </c>
      <c r="E59" s="45"/>
      <c r="F59" s="45"/>
      <c r="G59" s="45"/>
      <c r="H59" s="45"/>
      <c r="P59" s="231"/>
      <c r="AB59" s="232"/>
    </row>
    <row r="60" spans="1:28" ht="14.25" customHeight="1">
      <c r="A60" s="28" t="s">
        <v>109</v>
      </c>
      <c r="E60" s="66"/>
      <c r="F60" s="66"/>
      <c r="G60" s="66"/>
      <c r="H60" s="66"/>
      <c r="P60" s="231"/>
      <c r="AB60" s="232"/>
    </row>
    <row r="61" spans="1:28" ht="14.25" customHeight="1">
      <c r="A61" s="227" t="s">
        <v>108</v>
      </c>
      <c r="C61" s="6" t="s">
        <v>54</v>
      </c>
      <c r="E61" s="29"/>
      <c r="F61" s="29"/>
      <c r="G61" s="29"/>
      <c r="H61" s="29"/>
      <c r="P61" s="231"/>
      <c r="AB61" s="232"/>
    </row>
    <row r="62" spans="1:28" ht="14.25" customHeight="1">
      <c r="A62" s="227" t="s">
        <v>110</v>
      </c>
      <c r="C62" s="6" t="s">
        <v>54</v>
      </c>
      <c r="E62" s="29"/>
      <c r="F62" s="29"/>
      <c r="G62" s="29"/>
      <c r="H62" s="29"/>
      <c r="P62" s="231"/>
      <c r="AB62" s="232"/>
    </row>
    <row r="63" spans="1:28" ht="14.25" customHeight="1" thickBot="1">
      <c r="A63" s="227" t="s">
        <v>111</v>
      </c>
      <c r="C63" s="6" t="s">
        <v>54</v>
      </c>
      <c r="E63" s="940"/>
      <c r="F63" s="940"/>
      <c r="G63" s="940"/>
      <c r="H63" s="940"/>
      <c r="P63" s="233"/>
      <c r="Q63" s="234"/>
      <c r="R63" s="234"/>
      <c r="S63" s="234"/>
      <c r="T63" s="234"/>
      <c r="U63" s="234"/>
      <c r="V63" s="234"/>
      <c r="W63" s="234"/>
      <c r="X63" s="234"/>
      <c r="Y63" s="234"/>
      <c r="Z63" s="234"/>
      <c r="AA63" s="234"/>
      <c r="AB63" s="235"/>
    </row>
    <row r="64" spans="1:28" ht="14.25" customHeight="1">
      <c r="A64" s="28" t="s">
        <v>112</v>
      </c>
      <c r="C64" s="6" t="s">
        <v>54</v>
      </c>
      <c r="E64" s="939">
        <f>IF(E56="","",SUM(E57:E63))</f>
        <v>0</v>
      </c>
      <c r="F64" s="939">
        <f>IF(F56="",100,SUM(F57:F63))</f>
        <v>100</v>
      </c>
      <c r="G64" s="939">
        <f t="shared" ref="G64:H64" si="2">IF(G56="",100,SUM(G57:G63))</f>
        <v>100</v>
      </c>
      <c r="H64" s="939">
        <f t="shared" si="2"/>
        <v>100</v>
      </c>
      <c r="I64" s="964" t="str">
        <f>IF(AND(E64=100,F64=100,G64=100,H64=100),"   Summe ist korrekt (100%)","   Werte unvollständig oder falsch - Summe muss 100% entsprechen")</f>
        <v xml:space="preserve">   Werte unvollständig oder falsch - Summe muss 100% entsprechen</v>
      </c>
      <c r="J64" s="77"/>
      <c r="K64" s="77"/>
      <c r="L64" s="77"/>
      <c r="M64" s="77"/>
    </row>
    <row r="65" spans="1:9" ht="8.25" customHeight="1">
      <c r="A65" s="28"/>
      <c r="D65" s="5"/>
      <c r="G65" s="77"/>
    </row>
    <row r="66" spans="1:9" ht="14.25" customHeight="1">
      <c r="A66" s="8" t="s">
        <v>113</v>
      </c>
      <c r="B66" s="8"/>
      <c r="C66" s="34"/>
      <c r="E66" s="1004" t="s">
        <v>93</v>
      </c>
      <c r="F66" s="1005"/>
      <c r="G66" s="1005"/>
      <c r="H66" s="1006"/>
    </row>
    <row r="67" spans="1:9" ht="14.25" customHeight="1">
      <c r="A67" s="221" t="s">
        <v>114</v>
      </c>
      <c r="E67" s="67">
        <v>1</v>
      </c>
      <c r="F67" s="67" t="str">
        <f>IF($E$9&gt;=2,2,"")</f>
        <v/>
      </c>
      <c r="G67" s="67" t="str">
        <f>IF($E$9&gt;=3,3,"")</f>
        <v/>
      </c>
      <c r="H67" s="67" t="str">
        <f>IF($E$9&gt;=4,4,"")</f>
        <v/>
      </c>
    </row>
    <row r="68" spans="1:9" ht="14.25" customHeight="1">
      <c r="A68" s="222" t="s">
        <v>96</v>
      </c>
      <c r="B68" s="65"/>
      <c r="C68" s="75" t="s">
        <v>91</v>
      </c>
      <c r="E68" s="29"/>
      <c r="F68" s="29"/>
      <c r="G68" s="29"/>
      <c r="H68" s="29"/>
      <c r="I68" s="960">
        <f>Parameter!C22</f>
        <v>50</v>
      </c>
    </row>
    <row r="69" spans="1:9" ht="14.25" customHeight="1">
      <c r="A69" s="222" t="s">
        <v>97</v>
      </c>
      <c r="B69" s="65"/>
      <c r="C69" s="75" t="s">
        <v>5</v>
      </c>
      <c r="E69" s="29"/>
      <c r="F69" s="29"/>
      <c r="G69" s="29"/>
      <c r="H69" s="29"/>
      <c r="I69" s="214" t="str">
        <f>Parameter!C23</f>
        <v>Strasse</v>
      </c>
    </row>
    <row r="70" spans="1:9" ht="14.25" customHeight="1">
      <c r="A70" s="221" t="s">
        <v>115</v>
      </c>
      <c r="E70" s="44"/>
      <c r="F70" s="44"/>
      <c r="G70" s="44"/>
      <c r="H70" s="44"/>
      <c r="I70" s="214"/>
    </row>
    <row r="71" spans="1:9" ht="14.25" customHeight="1">
      <c r="A71" s="222" t="s">
        <v>96</v>
      </c>
      <c r="B71" s="65"/>
      <c r="C71" s="75" t="s">
        <v>91</v>
      </c>
      <c r="E71" s="29"/>
      <c r="F71" s="29"/>
      <c r="G71" s="29"/>
      <c r="H71" s="29"/>
      <c r="I71" s="960">
        <f>Parameter!C24</f>
        <v>20</v>
      </c>
    </row>
    <row r="72" spans="1:9" ht="14.25" customHeight="1">
      <c r="A72" s="222" t="s">
        <v>97</v>
      </c>
      <c r="B72" s="65"/>
      <c r="C72" s="75" t="s">
        <v>5</v>
      </c>
      <c r="E72" s="29"/>
      <c r="F72" s="29"/>
      <c r="G72" s="29"/>
      <c r="H72" s="29"/>
      <c r="I72" s="214" t="str">
        <f>Parameter!C25</f>
        <v>Strasse</v>
      </c>
    </row>
    <row r="73" spans="1:9" ht="14.25" customHeight="1">
      <c r="A73" s="221" t="s">
        <v>116</v>
      </c>
      <c r="E73" s="44"/>
      <c r="F73" s="44"/>
      <c r="G73" s="44"/>
      <c r="H73" s="44"/>
      <c r="I73" s="214"/>
    </row>
    <row r="74" spans="1:9" ht="14.25" customHeight="1">
      <c r="A74" s="222" t="s">
        <v>96</v>
      </c>
      <c r="B74" s="65"/>
      <c r="C74" s="75" t="s">
        <v>91</v>
      </c>
      <c r="E74" s="29"/>
      <c r="F74" s="29"/>
      <c r="G74" s="29"/>
      <c r="H74" s="29"/>
      <c r="I74" s="960">
        <f>Parameter!C26</f>
        <v>40</v>
      </c>
    </row>
    <row r="75" spans="1:9" ht="14.25" customHeight="1">
      <c r="A75" s="222" t="s">
        <v>97</v>
      </c>
      <c r="B75" s="65"/>
      <c r="C75" s="75" t="s">
        <v>5</v>
      </c>
      <c r="E75" s="30"/>
      <c r="F75" s="30"/>
      <c r="G75" s="30"/>
      <c r="H75" s="30"/>
      <c r="I75" s="214" t="str">
        <f>Parameter!C27</f>
        <v>Strasse</v>
      </c>
    </row>
    <row r="76" spans="1:9" ht="14.25" customHeight="1">
      <c r="F76" s="65"/>
    </row>
  </sheetData>
  <sheetProtection algorithmName="SHA-512" hashValue="1wBTu7Tv8zZi2O65A3ZHbEPKlu9CBjR48wICnMKlymZW+mWPiC+htLgznWJrnDrJEr4eo2jDiztjyRLCZBXpyA==" saltValue="V/ImCu9NSAaJs59yg/ekWg==" spinCount="100000" sheet="1" objects="1" scenarios="1"/>
  <protectedRanges>
    <protectedRange sqref="E2:E9 E13:J23 E25:J29 E31:J32 E37:H53 E57:H63 E68:H75" name="Eingabebereich"/>
  </protectedRanges>
  <mergeCells count="10">
    <mergeCell ref="E66:H66"/>
    <mergeCell ref="E55:H55"/>
    <mergeCell ref="E11:J11"/>
    <mergeCell ref="E34:H34"/>
    <mergeCell ref="A1:C1"/>
    <mergeCell ref="O3:U4"/>
    <mergeCell ref="O11:U11"/>
    <mergeCell ref="O7:U8"/>
    <mergeCell ref="O5:U6"/>
    <mergeCell ref="K28:L28"/>
  </mergeCells>
  <phoneticPr fontId="4" type="noConversion"/>
  <conditionalFormatting sqref="E2:E3 E6:E9">
    <cfRule type="expression" dxfId="72" priority="10">
      <formula>E2=""</formula>
    </cfRule>
  </conditionalFormatting>
  <conditionalFormatting sqref="E4">
    <cfRule type="expression" dxfId="71" priority="8">
      <formula>AND($E$2="DS",$E$4&lt;&gt;"")</formula>
    </cfRule>
    <cfRule type="expression" dxfId="70" priority="9">
      <formula>AND($E$2="DS",$E$4="")</formula>
    </cfRule>
  </conditionalFormatting>
  <conditionalFormatting sqref="E37:H38 E40:H41 E43:H44 E46:H47 E49:H50 E52:H53 E57:H59 E61:H63 E68:H69 E71:H72 E74:H75">
    <cfRule type="expression" dxfId="69" priority="25">
      <formula>E$35=""</formula>
    </cfRule>
  </conditionalFormatting>
  <conditionalFormatting sqref="E57:H59 E61:H63">
    <cfRule type="expression" dxfId="68" priority="27">
      <formula>AND(E$56&lt;&gt;"",E$64&lt;&gt;100)</formula>
    </cfRule>
  </conditionalFormatting>
  <conditionalFormatting sqref="E64:H64">
    <cfRule type="expression" dxfId="67" priority="43">
      <formula>AND(E$56&lt;&gt;"",E$64&lt;&gt;100)</formula>
    </cfRule>
  </conditionalFormatting>
  <conditionalFormatting sqref="E15:J15 E25:J25 E27:J27">
    <cfRule type="expression" dxfId="66" priority="24">
      <formula>AND(E$14="SM",E15&lt;&gt;"")</formula>
    </cfRule>
    <cfRule type="expression" dxfId="65" priority="28">
      <formula>AND(E$14="SM",E15="")</formula>
    </cfRule>
  </conditionalFormatting>
  <conditionalFormatting sqref="E15:J15 E25:J25 E27:J28">
    <cfRule type="expression" dxfId="64" priority="23">
      <formula>AND(E$14&lt;&gt;"SM",E15&lt;&gt;"")</formula>
    </cfRule>
  </conditionalFormatting>
  <conditionalFormatting sqref="E16:J17 E13:J14 E29:J29 E31:J32">
    <cfRule type="expression" dxfId="63" priority="35">
      <formula>AND(E$12&lt;&gt;"",""=E13)</formula>
    </cfRule>
  </conditionalFormatting>
  <conditionalFormatting sqref="E17:J17">
    <cfRule type="expression" dxfId="62" priority="13">
      <formula>AND(OR(E14="SPV",E14="TBM",E14="MUF"),E24&lt;&gt;"")</formula>
    </cfRule>
    <cfRule type="expression" dxfId="61" priority="15">
      <formula>AND(E$12&lt;&gt;"",OR(E$14="TBM",E$14="SPV",E$14="MUF"),_xlfn.XOR(E$17&lt;&gt;"Leicht",E$17&lt;&gt;"Mittel",E$17&lt;&gt;"Hoch"))</formula>
    </cfRule>
    <cfRule type="expression" dxfId="60" priority="16">
      <formula>AND(E$12&lt;&gt;"",E$14="MUL",E$17&lt;&gt;"MUL")</formula>
    </cfRule>
    <cfRule type="expression" dxfId="59" priority="18">
      <formula>AND(E$12&lt;&gt;"",E$14="SM",E17&lt;&gt;"Tübbinge")</formula>
    </cfRule>
  </conditionalFormatting>
  <conditionalFormatting sqref="E19:J23 E26:J26">
    <cfRule type="expression" dxfId="58" priority="17">
      <formula>E$14="SM"</formula>
    </cfRule>
  </conditionalFormatting>
  <conditionalFormatting sqref="E19:J23">
    <cfRule type="expression" dxfId="57" priority="1">
      <formula>OR(E$14="MUL",E$14="SM",E$14="")</formula>
    </cfRule>
    <cfRule type="expression" dxfId="56" priority="3">
      <formula>AND(ISNUMBER(E$24),E$24&lt;&gt;100)</formula>
    </cfRule>
    <cfRule type="expression" dxfId="55" priority="6">
      <formula>AND(E$12&lt;&gt;"",OR(E$14="TBM",E$14="SPV",E$14="MUF"))</formula>
    </cfRule>
  </conditionalFormatting>
  <conditionalFormatting sqref="E24:J24">
    <cfRule type="expression" dxfId="54" priority="2">
      <formula>OR(E12="",OR(E14="MUL",E14="SM"),E$14="")</formula>
    </cfRule>
    <cfRule type="expression" dxfId="53" priority="5">
      <formula>AND(E24&lt;&gt;100,E24&lt;&gt;"")</formula>
    </cfRule>
  </conditionalFormatting>
  <conditionalFormatting sqref="E26:J26">
    <cfRule type="expression" dxfId="52" priority="20">
      <formula>AND(E$14&lt;&gt;"",E$14&lt;&gt;"SM",E26="")</formula>
    </cfRule>
    <cfRule type="expression" dxfId="51" priority="21">
      <formula>AND(E$14&lt;&gt;"",E$14&lt;&gt;"SM",E26&lt;&gt;"")</formula>
    </cfRule>
  </conditionalFormatting>
  <conditionalFormatting sqref="E28:J28">
    <cfRule type="expression" dxfId="50" priority="22">
      <formula>E$14="SM"</formula>
    </cfRule>
  </conditionalFormatting>
  <conditionalFormatting sqref="F37:H38 F40:H41 F43:H44 F46:H47 F49:H50 F52:H53 F57:H59 F61:H63 F68:H69 F71:H72 F74:H75">
    <cfRule type="expression" dxfId="49" priority="7">
      <formula>F$35=""</formula>
    </cfRule>
  </conditionalFormatting>
  <conditionalFormatting sqref="F64:H64">
    <cfRule type="expression" dxfId="48" priority="26">
      <formula>F$56=""</formula>
    </cfRule>
  </conditionalFormatting>
  <conditionalFormatting sqref="F19:J23 F13:J17 F25:J29 F31:J32">
    <cfRule type="expression" dxfId="47" priority="4">
      <formula>F$12=""</formula>
    </cfRule>
  </conditionalFormatting>
  <dataValidations count="7">
    <dataValidation type="whole" allowBlank="1" showInputMessage="1" showErrorMessage="1" sqref="E60:H60" xr:uid="{F9FC5584-4B6C-4D41-BB35-9E3C0E7D2456}">
      <formula1>0</formula1>
      <formula2>100</formula2>
    </dataValidation>
    <dataValidation type="whole" operator="greaterThanOrEqual" allowBlank="1" showInputMessage="1" showErrorMessage="1" prompt="&gt; 3800" sqref="E4" xr:uid="{582E2F09-0157-49AB-8378-52C40A18B5CE}">
      <formula1>3800</formula1>
    </dataValidation>
    <dataValidation type="whole" allowBlank="1" showInputMessage="1" showErrorMessage="1" error="Muss zwischen Minimum und Maximum Werten liegen." prompt="Muss zwischen Minimum und Maximum liegen." sqref="E7" xr:uid="{E4092733-E8E0-44E4-853C-6081B9915089}">
      <formula1>H7-100</formula1>
      <formula2>J7+100</formula2>
    </dataValidation>
    <dataValidation type="list" allowBlank="1" showInputMessage="1" showErrorMessage="1" sqref="E17:J17" xr:uid="{4DA6FA88-070C-4B11-B447-F97D3C91F8D1}">
      <formula1>INDIRECT(E14)</formula1>
    </dataValidation>
    <dataValidation type="whole" operator="greaterThanOrEqual" allowBlank="1" showInputMessage="1" showErrorMessage="1" prompt="Ganze Zahl &gt; 0" sqref="E16:J16 E25:J29 E5:E6" xr:uid="{9D788384-C278-46E9-82A0-054B8E0A5CB8}">
      <formula1>0</formula1>
    </dataValidation>
    <dataValidation type="decimal" operator="greaterThanOrEqual" allowBlank="1" showInputMessage="1" showErrorMessage="1" prompt="&gt; 0" sqref="E32:J32 E37:H37 E40:H40 E43:H43 E46:H46 E49:H49 E68:H68 E71:H71 E74:H74" xr:uid="{6D1E68BF-1F6B-4A34-BA7A-1086EBEA91F5}">
      <formula1>0</formula1>
    </dataValidation>
    <dataValidation type="whole" allowBlank="1" showInputMessage="1" showErrorMessage="1" promptTitle="Ganze Zahl" prompt="10 statt 10 % oder 0.1" sqref="E19:J23 E57:H59 E61:H63" xr:uid="{995C1A21-A978-44A6-9D2F-1A0AA2D8942E}">
      <formula1>0</formula1>
      <formula2>100</formula2>
    </dataValidation>
  </dataValidations>
  <pageMargins left="0.7" right="0.7" top="0.78740157499999996" bottom="0.78740157499999996"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761EEE82-E8B9-4997-9161-A46119848B60}">
          <x14:formula1>
            <xm:f>INDIRECT(Listen!$D$8)</xm:f>
          </x14:formula1>
          <xm:sqref>E13:J13</xm:sqref>
        </x14:dataValidation>
        <x14:dataValidation type="list" allowBlank="1" showInputMessage="1" showErrorMessage="1" xr:uid="{FFCAEDD5-BC8D-4EA8-BC77-6DFD208E5B22}">
          <x14:formula1>
            <xm:f>Listen!$C$3:$C$8</xm:f>
          </x14:formula1>
          <xm:sqref>E8</xm:sqref>
        </x14:dataValidation>
        <x14:dataValidation type="list" allowBlank="1" showInputMessage="1" showErrorMessage="1" xr:uid="{BDECE3CB-AD3D-4846-A9F3-96F1DA8F3D97}">
          <x14:formula1>
            <xm:f>Listen!$J$3:$J$4</xm:f>
          </x14:formula1>
          <xm:sqref>E31:J31</xm:sqref>
        </x14:dataValidation>
        <x14:dataValidation type="list" allowBlank="1" showInputMessage="1" showErrorMessage="1" xr:uid="{BA5F2BE9-1276-4828-A89E-7237FA054977}">
          <x14:formula1>
            <xm:f>Listen!$R$3:$R$5</xm:f>
          </x14:formula1>
          <xm:sqref>E72:H72 E50:H50 E69:H69 E38:H38 E75:H75 E41:H41 E44:H44 E47:H47</xm:sqref>
        </x14:dataValidation>
        <x14:dataValidation type="list" allowBlank="1" showInputMessage="1" showErrorMessage="1" xr:uid="{CE520037-8E60-4A11-8711-1E8A9A1285C9}">
          <x14:formula1>
            <xm:f>Listen!$S$3:$S$6</xm:f>
          </x14:formula1>
          <xm:sqref>E53:H53</xm:sqref>
        </x14:dataValidation>
        <x14:dataValidation type="list" allowBlank="1" showInputMessage="1" showErrorMessage="1" xr:uid="{8BC4AC8F-EFF7-4DE5-B907-E304257CF2C4}">
          <x14:formula1>
            <xm:f>Listen!$A$3:$A$4</xm:f>
          </x14:formula1>
          <xm:sqref>E2</xm:sqref>
        </x14:dataValidation>
        <x14:dataValidation type="list" allowBlank="1" showInputMessage="1" showErrorMessage="1" xr:uid="{0C5B0060-75F7-4996-BBEB-3163B3132AE1}">
          <x14:formula1>
            <xm:f>Listen!$I$3:$I$7</xm:f>
          </x14:formula1>
          <xm:sqref>E14:J14</xm:sqref>
        </x14:dataValidation>
        <x14:dataValidation type="list" allowBlank="1" showInputMessage="1" showErrorMessage="1" xr:uid="{B4296D2F-6ABB-4B8F-B254-B743EDC29248}">
          <x14:formula1>
            <xm:f>Listen!$T$3:$T$5</xm:f>
          </x14:formula1>
          <xm:sqref>E15:J15</xm:sqref>
        </x14:dataValidation>
        <x14:dataValidation type="list" allowBlank="1" showInputMessage="1" showErrorMessage="1" xr:uid="{C95AC409-B774-47FA-925D-12C12A963198}">
          <x14:formula1>
            <xm:f>Listen!$D$3:$D$6</xm:f>
          </x14:formula1>
          <xm:sqref>E9</xm:sqref>
        </x14:dataValidation>
        <x14:dataValidation type="list" allowBlank="1" showInputMessage="1" showErrorMessage="1" xr:uid="{2BF40757-F173-40DA-889B-5ABAD67BD408}">
          <x14:formula1>
            <xm:f>Listen!$B$3:$B$4</xm:f>
          </x14:formula1>
          <xm:sqref>E3</xm:sqref>
        </x14:dataValidation>
        <x14:dataValidation type="list" allowBlank="1" showInputMessage="1" showErrorMessage="1" xr:uid="{924132EA-56A6-4D4C-AEDA-F150592C92EB}">
          <x14:formula1>
            <xm:f>Listen!$S$3:$S$5</xm:f>
          </x14:formula1>
          <xm:sqref>E52:H52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B386C-25CB-4458-90CF-17F5D6861681}">
  <sheetPr>
    <tabColor theme="9" tint="0.79998168889431442"/>
  </sheetPr>
  <dimension ref="A1:I29"/>
  <sheetViews>
    <sheetView workbookViewId="0">
      <selection sqref="A1:C1"/>
    </sheetView>
  </sheetViews>
  <sheetFormatPr baseColWidth="10" defaultColWidth="11.42578125" defaultRowHeight="14.25" customHeight="1"/>
  <cols>
    <col min="1" max="1" width="36.85546875" customWidth="1"/>
    <col min="2" max="2" width="6.42578125" customWidth="1"/>
    <col min="3" max="9" width="18.5703125" customWidth="1"/>
    <col min="10" max="10" width="17.42578125" customWidth="1"/>
  </cols>
  <sheetData>
    <row r="1" spans="1:9" ht="14.25" customHeight="1">
      <c r="A1" s="1025" t="s">
        <v>591</v>
      </c>
      <c r="B1" s="1025"/>
      <c r="C1" s="1025"/>
    </row>
    <row r="3" spans="1:9" ht="14.25" customHeight="1">
      <c r="A3" s="312" t="s">
        <v>592</v>
      </c>
      <c r="B3" s="363"/>
      <c r="C3" s="487" t="s">
        <v>46</v>
      </c>
      <c r="D3" s="487" t="s">
        <v>498</v>
      </c>
      <c r="E3" s="487" t="s">
        <v>499</v>
      </c>
      <c r="F3" s="487" t="s">
        <v>500</v>
      </c>
      <c r="G3" s="487" t="s">
        <v>501</v>
      </c>
      <c r="H3" s="487" t="s">
        <v>502</v>
      </c>
      <c r="I3" s="487" t="s">
        <v>579</v>
      </c>
    </row>
    <row r="4" spans="1:9" ht="7.5" customHeight="1">
      <c r="C4" s="471"/>
      <c r="D4" s="471"/>
      <c r="E4" s="471"/>
      <c r="F4" s="471"/>
      <c r="G4" s="471"/>
      <c r="H4" s="471"/>
      <c r="I4" s="471"/>
    </row>
    <row r="5" spans="1:9" ht="14.25" customHeight="1">
      <c r="A5" s="840" t="s">
        <v>222</v>
      </c>
      <c r="B5" s="368" t="s">
        <v>352</v>
      </c>
      <c r="C5" s="318">
        <f>Transport!C71</f>
        <v>0</v>
      </c>
      <c r="D5" s="318">
        <f>Transport!D71</f>
        <v>0</v>
      </c>
      <c r="E5" s="318">
        <f>Transport!E71</f>
        <v>0</v>
      </c>
      <c r="F5" s="318">
        <f>Transport!F71</f>
        <v>0</v>
      </c>
      <c r="G5" s="318">
        <f>Transport!G71</f>
        <v>0</v>
      </c>
      <c r="H5" s="318">
        <f>Transport!H71</f>
        <v>0</v>
      </c>
      <c r="I5" s="472">
        <f>SUM(C5:H5)</f>
        <v>0</v>
      </c>
    </row>
    <row r="6" spans="1:9" ht="14.25" customHeight="1">
      <c r="A6" s="841" t="s">
        <v>228</v>
      </c>
      <c r="B6" s="369" t="s">
        <v>352</v>
      </c>
      <c r="C6" s="319">
        <f>Transport!C72</f>
        <v>0</v>
      </c>
      <c r="D6" s="319">
        <f>Transport!D72</f>
        <v>0</v>
      </c>
      <c r="E6" s="319">
        <f>Transport!E72</f>
        <v>0</v>
      </c>
      <c r="F6" s="319">
        <f>Transport!F72</f>
        <v>0</v>
      </c>
      <c r="G6" s="319">
        <f>Transport!G72</f>
        <v>0</v>
      </c>
      <c r="H6" s="319">
        <f>Transport!H72</f>
        <v>0</v>
      </c>
      <c r="I6" s="473">
        <f>SUM(C6:H6)</f>
        <v>0</v>
      </c>
    </row>
    <row r="7" spans="1:9" ht="14.25" customHeight="1">
      <c r="A7" s="841" t="s">
        <v>232</v>
      </c>
      <c r="B7" s="369" t="s">
        <v>352</v>
      </c>
      <c r="C7" s="319">
        <f>Transport!C73</f>
        <v>0</v>
      </c>
      <c r="D7" s="319">
        <f>Transport!D73</f>
        <v>0</v>
      </c>
      <c r="E7" s="319">
        <f>Transport!E73</f>
        <v>0</v>
      </c>
      <c r="F7" s="319">
        <f>Transport!F73</f>
        <v>0</v>
      </c>
      <c r="G7" s="319">
        <f>Transport!G73</f>
        <v>0</v>
      </c>
      <c r="H7" s="319">
        <f>Transport!H73</f>
        <v>0</v>
      </c>
      <c r="I7" s="473">
        <f t="shared" ref="I7:I8" si="0">SUM(C7:H7)</f>
        <v>0</v>
      </c>
    </row>
    <row r="8" spans="1:9" ht="14.25" customHeight="1">
      <c r="A8" s="842" t="s">
        <v>234</v>
      </c>
      <c r="B8" s="370" t="s">
        <v>352</v>
      </c>
      <c r="C8" s="320">
        <f>Transport!C74</f>
        <v>0</v>
      </c>
      <c r="D8" s="320">
        <f>Transport!D74</f>
        <v>0</v>
      </c>
      <c r="E8" s="320">
        <f>Transport!E74</f>
        <v>0</v>
      </c>
      <c r="F8" s="320">
        <f>Transport!F74</f>
        <v>0</v>
      </c>
      <c r="G8" s="320">
        <f>Transport!G74</f>
        <v>0</v>
      </c>
      <c r="H8" s="320">
        <f>Transport!H74</f>
        <v>0</v>
      </c>
      <c r="I8" s="474">
        <f t="shared" si="0"/>
        <v>0</v>
      </c>
    </row>
    <row r="10" spans="1:9" ht="14.25" customHeight="1">
      <c r="A10" s="312" t="s">
        <v>593</v>
      </c>
      <c r="B10" s="367"/>
      <c r="C10" s="487">
        <v>1</v>
      </c>
      <c r="D10" s="487">
        <v>2</v>
      </c>
      <c r="E10" s="487">
        <v>3</v>
      </c>
      <c r="F10" s="487">
        <v>4</v>
      </c>
      <c r="G10" s="487" t="s">
        <v>579</v>
      </c>
    </row>
    <row r="11" spans="1:9" ht="7.5" customHeight="1">
      <c r="C11" s="471"/>
      <c r="D11" s="471"/>
      <c r="E11" s="471"/>
      <c r="F11" s="471"/>
      <c r="G11" s="471"/>
    </row>
    <row r="12" spans="1:9" ht="14.25" customHeight="1">
      <c r="A12" s="840" t="s">
        <v>222</v>
      </c>
      <c r="B12" s="368" t="s">
        <v>352</v>
      </c>
      <c r="C12" s="318">
        <f>Transport!C106+Transport!C142</f>
        <v>0</v>
      </c>
      <c r="D12" s="318">
        <f>Transport!D106+Transport!D142</f>
        <v>0</v>
      </c>
      <c r="E12" s="318">
        <f>Transport!E106+Transport!E142</f>
        <v>0</v>
      </c>
      <c r="F12" s="318">
        <f>Transport!F106+Transport!F142</f>
        <v>0</v>
      </c>
      <c r="G12" s="472">
        <f>SUM(C12:F12)</f>
        <v>0</v>
      </c>
    </row>
    <row r="13" spans="1:9" ht="14.25" customHeight="1">
      <c r="A13" s="841" t="s">
        <v>228</v>
      </c>
      <c r="B13" s="369" t="s">
        <v>352</v>
      </c>
      <c r="C13" s="319">
        <f>Transport!C107+Transport!C143</f>
        <v>0</v>
      </c>
      <c r="D13" s="319">
        <f>Transport!D107+Transport!D143</f>
        <v>0</v>
      </c>
      <c r="E13" s="319">
        <f>Transport!E107+Transport!E143</f>
        <v>0</v>
      </c>
      <c r="F13" s="319">
        <f>Transport!F107+Transport!F143</f>
        <v>0</v>
      </c>
      <c r="G13" s="473">
        <f t="shared" ref="G13:G14" si="1">SUM(C13:F13)</f>
        <v>0</v>
      </c>
    </row>
    <row r="14" spans="1:9" ht="14.25" customHeight="1">
      <c r="A14" s="842" t="s">
        <v>232</v>
      </c>
      <c r="B14" s="370" t="s">
        <v>352</v>
      </c>
      <c r="C14" s="320">
        <f>Transport!C108+Transport!C144</f>
        <v>0</v>
      </c>
      <c r="D14" s="320">
        <f>Transport!D108+Transport!D144</f>
        <v>0</v>
      </c>
      <c r="E14" s="320">
        <f>Transport!E108+Transport!E144</f>
        <v>0</v>
      </c>
      <c r="F14" s="320">
        <f>Transport!F108+Transport!F144</f>
        <v>0</v>
      </c>
      <c r="G14" s="474">
        <f t="shared" si="1"/>
        <v>0</v>
      </c>
    </row>
    <row r="16" spans="1:9" ht="14.25" customHeight="1">
      <c r="A16" s="312" t="s">
        <v>594</v>
      </c>
      <c r="B16" s="367"/>
      <c r="C16" s="487" t="s">
        <v>369</v>
      </c>
    </row>
    <row r="17" spans="1:4" ht="8.25" customHeight="1">
      <c r="C17" s="471"/>
    </row>
    <row r="18" spans="1:4" ht="14.25" customHeight="1">
      <c r="A18" s="840" t="s">
        <v>222</v>
      </c>
      <c r="B18" s="368" t="s">
        <v>352</v>
      </c>
      <c r="C18" s="318">
        <f>(G12+I5)*AnzahlRöhren</f>
        <v>0</v>
      </c>
    </row>
    <row r="19" spans="1:4" ht="14.25" customHeight="1">
      <c r="A19" s="841" t="s">
        <v>228</v>
      </c>
      <c r="B19" s="369" t="s">
        <v>352</v>
      </c>
      <c r="C19" s="319">
        <f>(G13+I6)*AnzahlRöhren</f>
        <v>0</v>
      </c>
    </row>
    <row r="20" spans="1:4" ht="14.25" customHeight="1">
      <c r="A20" s="841" t="s">
        <v>232</v>
      </c>
      <c r="B20" s="369" t="s">
        <v>352</v>
      </c>
      <c r="C20" s="319">
        <f>(G14+I7)*AnzahlRöhren</f>
        <v>0</v>
      </c>
    </row>
    <row r="21" spans="1:4" ht="14.25" customHeight="1">
      <c r="A21" s="842" t="s">
        <v>234</v>
      </c>
      <c r="B21" s="370" t="s">
        <v>352</v>
      </c>
      <c r="C21" s="320">
        <f>(I8)*AnzahlRöhren</f>
        <v>0</v>
      </c>
    </row>
    <row r="23" spans="1:4" ht="14.25" customHeight="1">
      <c r="A23" s="478" t="s">
        <v>595</v>
      </c>
      <c r="B23" s="478"/>
      <c r="C23" s="488" t="s">
        <v>574</v>
      </c>
      <c r="D23" s="488" t="s">
        <v>175</v>
      </c>
    </row>
    <row r="24" spans="1:4" ht="8.25" customHeight="1">
      <c r="C24" s="486"/>
      <c r="D24" s="486"/>
    </row>
    <row r="25" spans="1:4" ht="14.25" customHeight="1">
      <c r="A25" s="605" t="s">
        <v>222</v>
      </c>
      <c r="B25" s="479" t="s">
        <v>5</v>
      </c>
      <c r="C25" s="480">
        <f>ROUND($C18*Parameter!C116,0)</f>
        <v>0</v>
      </c>
      <c r="D25" s="480">
        <f>ROUND($C18*Parameter!E116,0)</f>
        <v>0</v>
      </c>
    </row>
    <row r="26" spans="1:4" ht="14.25" customHeight="1">
      <c r="A26" s="606" t="s">
        <v>228</v>
      </c>
      <c r="B26" s="481" t="s">
        <v>5</v>
      </c>
      <c r="C26" s="482">
        <f>ROUND($C19*Parameter!C117,0)</f>
        <v>0</v>
      </c>
      <c r="D26" s="482">
        <f>ROUND($C19*Parameter!E117,0)</f>
        <v>0</v>
      </c>
    </row>
    <row r="27" spans="1:4" ht="14.25" customHeight="1">
      <c r="A27" s="606" t="s">
        <v>232</v>
      </c>
      <c r="B27" s="481" t="s">
        <v>5</v>
      </c>
      <c r="C27" s="482">
        <f>ROUND(C$20*Parameter!$C122*Parameter!$C114,0)</f>
        <v>0</v>
      </c>
      <c r="D27" s="482">
        <f>ROUND(C20*Parameter!$C$122*Parameter!E114,0)</f>
        <v>0</v>
      </c>
    </row>
    <row r="28" spans="1:4" ht="14.25" customHeight="1">
      <c r="A28" s="607" t="s">
        <v>234</v>
      </c>
      <c r="B28" s="483" t="s">
        <v>5</v>
      </c>
      <c r="C28" s="484">
        <f>ROUND(C$21*Parameter!$C123*Parameter!$C115,0)</f>
        <v>0</v>
      </c>
      <c r="D28" s="484">
        <f>ROUND(C21*Parameter!$C$123*Parameter!D115,0)</f>
        <v>0</v>
      </c>
    </row>
    <row r="29" spans="1:4" ht="14.25" customHeight="1">
      <c r="A29" s="843" t="s">
        <v>369</v>
      </c>
      <c r="B29" s="525" t="s">
        <v>5</v>
      </c>
      <c r="C29" s="526">
        <f>SUM(C25:C28)</f>
        <v>0</v>
      </c>
      <c r="D29" s="526">
        <f>SUM(D25:D28)</f>
        <v>0</v>
      </c>
    </row>
  </sheetData>
  <sheetProtection algorithmName="SHA-512" hashValue="dRCj9nX+uVTIgEoByW94BQf9d3Ek84kO6k/lNdg8rBRMQ78hHbCaEsG8Te81Uhb1pxWzqlo56zKwYquYQRCwxQ==" saltValue="fRGufSGN6zMPuTczeAe2hA==" spinCount="100000" sheet="1" objects="1" scenarios="1"/>
  <mergeCells count="1">
    <mergeCell ref="A1:C1"/>
  </mergeCells>
  <pageMargins left="0.7" right="0.7" top="0.78740157499999996" bottom="0.78740157499999996" header="0.3" footer="0.3"/>
  <pageSetup paperSize="9" orientation="portrait" horizontalDpi="30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FCABD-C84B-4217-86BE-882031CF75DC}">
  <sheetPr>
    <tabColor theme="9" tint="0.79998168889431442"/>
  </sheetPr>
  <dimension ref="A1:L320"/>
  <sheetViews>
    <sheetView workbookViewId="0">
      <selection sqref="A1:C1"/>
    </sheetView>
  </sheetViews>
  <sheetFormatPr baseColWidth="10" defaultColWidth="11.42578125" defaultRowHeight="14.25" customHeight="1"/>
  <cols>
    <col min="1" max="1" width="42.42578125" style="5" customWidth="1"/>
    <col min="2" max="2" width="7.140625" style="5" customWidth="1"/>
    <col min="3" max="10" width="21.7109375" style="5" customWidth="1"/>
    <col min="11" max="16384" width="11.42578125" style="5"/>
  </cols>
  <sheetData>
    <row r="1" spans="1:8" ht="14.25" customHeight="1">
      <c r="A1" s="1025" t="s">
        <v>92</v>
      </c>
      <c r="B1" s="1025"/>
      <c r="C1" s="1025"/>
    </row>
    <row r="3" spans="1:8" ht="14.25" customHeight="1">
      <c r="B3" s="6"/>
      <c r="C3" s="308">
        <f>IF(Tunneldaten!E$35="","",Tunneldaten!E35)</f>
        <v>1</v>
      </c>
      <c r="D3" s="308" t="str">
        <f>IF(Tunneldaten!F$35="","",Tunneldaten!F35)</f>
        <v/>
      </c>
      <c r="E3" s="308" t="str">
        <f>IF(Tunneldaten!G$35="","",Tunneldaten!G35)</f>
        <v/>
      </c>
      <c r="F3" s="308" t="str">
        <f>IF(Tunneldaten!H$35="","",Tunneldaten!H35)</f>
        <v/>
      </c>
    </row>
    <row r="4" spans="1:8" ht="8.25" customHeight="1">
      <c r="C4" s="340"/>
      <c r="D4" s="340"/>
      <c r="E4" s="340"/>
      <c r="F4" s="340"/>
    </row>
    <row r="5" spans="1:8" ht="14.25" customHeight="1">
      <c r="A5" s="310" t="s">
        <v>596</v>
      </c>
      <c r="B5" s="310"/>
      <c r="C5" s="341"/>
      <c r="D5" s="341"/>
      <c r="E5" s="341"/>
      <c r="F5" s="341"/>
    </row>
    <row r="6" spans="1:8" ht="14.25" customHeight="1">
      <c r="A6" s="844" t="s">
        <v>95</v>
      </c>
      <c r="B6" s="342"/>
      <c r="C6" s="343"/>
      <c r="D6" s="343"/>
      <c r="E6" s="343"/>
      <c r="F6" s="343"/>
    </row>
    <row r="7" spans="1:8" ht="14.25" customHeight="1">
      <c r="A7" s="845" t="s">
        <v>96</v>
      </c>
      <c r="B7" s="344" t="s">
        <v>91</v>
      </c>
      <c r="C7" s="345">
        <f>IF(Tunneldaten!E$35="","",IF(Tunneldaten!E37&lt;&gt;"",Tunneldaten!E37,Parameter!$C$8))</f>
        <v>25</v>
      </c>
      <c r="D7" s="345" t="str">
        <f>IF(Tunneldaten!F$35="","",IF(Tunneldaten!F$37&lt;&gt;"",Tunneldaten!F$37,Parameter!$C8))</f>
        <v/>
      </c>
      <c r="E7" s="345" t="str">
        <f>IF(Tunneldaten!G$35="","",IF(Tunneldaten!G$37&lt;&gt;"",Tunneldaten!G$37,Parameter!$C8))</f>
        <v/>
      </c>
      <c r="F7" s="345" t="str">
        <f>IF(Tunneldaten!H$35="","",IF(Tunneldaten!H$37&lt;&gt;"",Tunneldaten!H$37,Parameter!$C8))</f>
        <v/>
      </c>
    </row>
    <row r="8" spans="1:8" ht="14.25" customHeight="1">
      <c r="A8" s="846" t="s">
        <v>97</v>
      </c>
      <c r="B8" s="346" t="s">
        <v>5</v>
      </c>
      <c r="C8" s="347" t="str">
        <f>IF(Tunneldaten!E$35="","",IF(Tunneldaten!E38&lt;&gt;"",Tunneldaten!E38,Parameter!$C$9))</f>
        <v>Strasse</v>
      </c>
      <c r="D8" s="347" t="str">
        <f>IF(Tunneldaten!F$35="","",IF(Tunneldaten!F38&lt;&gt;"",Tunneldaten!F38,Parameter!$C$9))</f>
        <v/>
      </c>
      <c r="E8" s="347" t="str">
        <f>IF(Tunneldaten!G$35="","",IF(Tunneldaten!G38&lt;&gt;"",Tunneldaten!G38,Parameter!$C$9))</f>
        <v/>
      </c>
      <c r="F8" s="347" t="str">
        <f>IF(Tunneldaten!H$35="","",IF(Tunneldaten!H38&lt;&gt;"",Tunneldaten!H38,Parameter!$C$9))</f>
        <v/>
      </c>
    </row>
    <row r="9" spans="1:8" ht="14.25" customHeight="1">
      <c r="A9" s="844" t="s">
        <v>98</v>
      </c>
      <c r="B9" s="342"/>
      <c r="C9" s="348"/>
      <c r="D9" s="348"/>
      <c r="E9" s="348"/>
      <c r="F9" s="348"/>
    </row>
    <row r="10" spans="1:8" ht="14.25" customHeight="1">
      <c r="A10" s="845" t="s">
        <v>96</v>
      </c>
      <c r="B10" s="344" t="s">
        <v>91</v>
      </c>
      <c r="C10" s="345">
        <f>IF(Tunneldaten!E$35="","",IF(Tunneldaten!E40&lt;&gt;"",Tunneldaten!E40,Parameter!$C$10))</f>
        <v>300</v>
      </c>
      <c r="D10" s="345" t="str">
        <f>IF(Tunneldaten!F$35="","",IF(Tunneldaten!F40&lt;&gt;"",Tunneldaten!F40,Parameter!$C$10))</f>
        <v/>
      </c>
      <c r="E10" s="345" t="str">
        <f>IF(Tunneldaten!G$35="","",IF(Tunneldaten!G40&lt;&gt;"",Tunneldaten!G40,Parameter!$C$10))</f>
        <v/>
      </c>
      <c r="F10" s="345" t="str">
        <f>IF(Tunneldaten!H$35="","",IF(Tunneldaten!H40&lt;&gt;"",Tunneldaten!H40,Parameter!$C$10))</f>
        <v/>
      </c>
      <c r="H10" s="5" t="str">
        <f>IF(Tunneldaten!J$35="","",Tunneldaten!J40)</f>
        <v/>
      </c>
    </row>
    <row r="11" spans="1:8" ht="14.25" customHeight="1">
      <c r="A11" s="846" t="s">
        <v>97</v>
      </c>
      <c r="B11" s="346" t="s">
        <v>5</v>
      </c>
      <c r="C11" s="347" t="str">
        <f>IF(Tunneldaten!E$35="","",IF(Tunneldaten!E41&lt;&gt;"",Tunneldaten!E41,Parameter!$C$11))</f>
        <v>Strasse</v>
      </c>
      <c r="D11" s="347" t="str">
        <f>IF(Tunneldaten!F$35="","",IF(Tunneldaten!F41&lt;&gt;"",Tunneldaten!F41,Parameter!$C$11))</f>
        <v/>
      </c>
      <c r="E11" s="347" t="str">
        <f>IF(Tunneldaten!G$35="","",IF(Tunneldaten!G41&lt;&gt;"",Tunneldaten!G41,Parameter!$C$11))</f>
        <v/>
      </c>
      <c r="F11" s="347" t="str">
        <f>IF(Tunneldaten!H$35="","",IF(Tunneldaten!H41&lt;&gt;"",Tunneldaten!H41,Parameter!$C$11))</f>
        <v/>
      </c>
      <c r="H11" s="5" t="str">
        <f>IF(Tunneldaten!J$35="","",Tunneldaten!J41)</f>
        <v/>
      </c>
    </row>
    <row r="12" spans="1:8" ht="14.25" customHeight="1">
      <c r="A12" s="844" t="s">
        <v>192</v>
      </c>
      <c r="B12" s="342"/>
      <c r="C12" s="348"/>
      <c r="D12" s="348"/>
      <c r="E12" s="348"/>
      <c r="F12" s="348"/>
      <c r="H12" s="5" t="str">
        <f>IF(Tunneldaten!J$35="","",Tunneldaten!J42)</f>
        <v/>
      </c>
    </row>
    <row r="13" spans="1:8" ht="14.25" customHeight="1">
      <c r="A13" s="845" t="s">
        <v>96</v>
      </c>
      <c r="B13" s="344" t="s">
        <v>91</v>
      </c>
      <c r="C13" s="345">
        <f>IF(Tunneldaten!E$35="","",IF(Tunneldaten!E43&lt;&gt;"",Tunneldaten!E43,Parameter!$C$12))</f>
        <v>50</v>
      </c>
      <c r="D13" s="345" t="str">
        <f>IF(Tunneldaten!F$35="","",IF(Tunneldaten!F43&lt;&gt;"",Tunneldaten!F43,Parameter!$C$12))</f>
        <v/>
      </c>
      <c r="E13" s="345" t="str">
        <f>IF(Tunneldaten!G$35="","",IF(Tunneldaten!G43&lt;&gt;"",Tunneldaten!G43,Parameter!$C$12))</f>
        <v/>
      </c>
      <c r="F13" s="345" t="str">
        <f>IF(Tunneldaten!H$35="","",IF(Tunneldaten!H43&lt;&gt;"",Tunneldaten!H43,Parameter!$C$12))</f>
        <v/>
      </c>
      <c r="H13" s="5" t="str">
        <f>IF(Tunneldaten!J$35="","",Tunneldaten!J43)</f>
        <v/>
      </c>
    </row>
    <row r="14" spans="1:8" ht="14.25" customHeight="1">
      <c r="A14" s="846" t="s">
        <v>97</v>
      </c>
      <c r="B14" s="346" t="s">
        <v>5</v>
      </c>
      <c r="C14" s="347" t="str">
        <f>IF(Tunneldaten!E$35="","",IF(Tunneldaten!E44&lt;&gt;"",Tunneldaten!E44,Parameter!$C$13))</f>
        <v>Strasse</v>
      </c>
      <c r="D14" s="347" t="str">
        <f>IF(Tunneldaten!F$35="","",IF(Tunneldaten!F44&lt;&gt;"",Tunneldaten!F44,Parameter!$C$13))</f>
        <v/>
      </c>
      <c r="E14" s="347" t="str">
        <f>IF(Tunneldaten!G$35="","",IF(Tunneldaten!G44&lt;&gt;"",Tunneldaten!G44,Parameter!$C$13))</f>
        <v/>
      </c>
      <c r="F14" s="347" t="str">
        <f>IF(Tunneldaten!H$35="","",IF(Tunneldaten!H44&lt;&gt;"",Tunneldaten!H44,Parameter!$C$13))</f>
        <v/>
      </c>
      <c r="H14" s="5" t="str">
        <f>IF(Tunneldaten!J$35="","",Tunneldaten!J44)</f>
        <v/>
      </c>
    </row>
    <row r="15" spans="1:8" ht="14.25" customHeight="1">
      <c r="A15" s="844" t="s">
        <v>100</v>
      </c>
      <c r="B15" s="342"/>
      <c r="C15" s="348"/>
      <c r="D15" s="348"/>
      <c r="E15" s="348"/>
      <c r="F15" s="348"/>
      <c r="H15" s="5" t="str">
        <f>IF(Tunneldaten!J$35="","",Tunneldaten!J45)</f>
        <v/>
      </c>
    </row>
    <row r="16" spans="1:8" ht="14.25" customHeight="1">
      <c r="A16" s="845" t="s">
        <v>96</v>
      </c>
      <c r="B16" s="344" t="s">
        <v>91</v>
      </c>
      <c r="C16" s="345">
        <f>IF(Tunneldaten!E$35="","",IF(Tunneldaten!E46&lt;&gt;"",Tunneldaten!E46,Parameter!$C$14))</f>
        <v>40</v>
      </c>
      <c r="D16" s="345" t="str">
        <f>IF(Tunneldaten!F$35="","",IF(Tunneldaten!F46&lt;&gt;"",Tunneldaten!F46,Parameter!$C$14))</f>
        <v/>
      </c>
      <c r="E16" s="345" t="str">
        <f>IF(Tunneldaten!G$35="","",IF(Tunneldaten!G46&lt;&gt;"",Tunneldaten!G46,Parameter!$C$14))</f>
        <v/>
      </c>
      <c r="F16" s="345" t="str">
        <f>IF(Tunneldaten!H$35="","",IF(Tunneldaten!H46&lt;&gt;"",Tunneldaten!H46,Parameter!$C$14))</f>
        <v/>
      </c>
      <c r="H16" s="5" t="str">
        <f>IF(Tunneldaten!J$35="","",Tunneldaten!J46)</f>
        <v/>
      </c>
    </row>
    <row r="17" spans="1:8" ht="14.25" customHeight="1">
      <c r="A17" s="846" t="s">
        <v>97</v>
      </c>
      <c r="B17" s="346" t="s">
        <v>5</v>
      </c>
      <c r="C17" s="347" t="str">
        <f>IF(Tunneldaten!E$35="","",IF(Tunneldaten!E47&lt;&gt;"",Tunneldaten!E47,Parameter!$C$15))</f>
        <v>Strasse</v>
      </c>
      <c r="D17" s="347" t="str">
        <f>IF(Tunneldaten!F$35="","",IF(Tunneldaten!F47&lt;&gt;"",Tunneldaten!F47,Parameter!$C$15))</f>
        <v/>
      </c>
      <c r="E17" s="347" t="str">
        <f>IF(Tunneldaten!G$35="","",IF(Tunneldaten!G47&lt;&gt;"",Tunneldaten!G47,Parameter!$C$15))</f>
        <v/>
      </c>
      <c r="F17" s="347" t="str">
        <f>IF(Tunneldaten!H$35="","",IF(Tunneldaten!H47&lt;&gt;"",Tunneldaten!H47,Parameter!$C$15))</f>
        <v/>
      </c>
      <c r="H17" s="5" t="str">
        <f>IF(Tunneldaten!J$35="","",Tunneldaten!J47)</f>
        <v/>
      </c>
    </row>
    <row r="18" spans="1:8" ht="14.25" customHeight="1">
      <c r="A18" s="844" t="s">
        <v>50</v>
      </c>
      <c r="B18" s="342"/>
      <c r="C18" s="348"/>
      <c r="D18" s="348"/>
      <c r="E18" s="348"/>
      <c r="F18" s="348"/>
      <c r="H18" s="5" t="str">
        <f>IF(Tunneldaten!J$35="","",Tunneldaten!J48)</f>
        <v/>
      </c>
    </row>
    <row r="19" spans="1:8" ht="14.25" customHeight="1">
      <c r="A19" s="845" t="s">
        <v>96</v>
      </c>
      <c r="B19" s="344" t="s">
        <v>91</v>
      </c>
      <c r="C19" s="345">
        <f>IF(Tunneldaten!E$35="","",IF(Tunneldaten!E49&lt;&gt;"",Tunneldaten!E49,Parameter!$C$16))</f>
        <v>50</v>
      </c>
      <c r="D19" s="345" t="str">
        <f>IF(Tunneldaten!F$35="","",IF(Tunneldaten!F49&lt;&gt;"",Tunneldaten!F49,Parameter!$C$16))</f>
        <v/>
      </c>
      <c r="E19" s="345" t="str">
        <f>IF(Tunneldaten!G$35="","",IF(Tunneldaten!G49&lt;&gt;"",Tunneldaten!G49,Parameter!$C$16))</f>
        <v/>
      </c>
      <c r="F19" s="345" t="str">
        <f>IF(Tunneldaten!H$35="","",IF(Tunneldaten!H49&lt;&gt;"",Tunneldaten!H49,Parameter!$C$16))</f>
        <v/>
      </c>
      <c r="H19" s="5" t="str">
        <f>IF(Tunneldaten!J$35="","",Tunneldaten!J49)</f>
        <v/>
      </c>
    </row>
    <row r="20" spans="1:8" ht="14.25" customHeight="1">
      <c r="A20" s="846" t="s">
        <v>97</v>
      </c>
      <c r="B20" s="346" t="s">
        <v>5</v>
      </c>
      <c r="C20" s="347" t="str">
        <f>IF(Tunneldaten!E$35="","",IF(Tunneldaten!E50&lt;&gt;"",Tunneldaten!E50,Parameter!$C$17))</f>
        <v>Strasse</v>
      </c>
      <c r="D20" s="347" t="str">
        <f>IF(Tunneldaten!F$35="","",IF(Tunneldaten!F50&lt;&gt;"",Tunneldaten!F50,Parameter!$C$17))</f>
        <v/>
      </c>
      <c r="E20" s="347" t="str">
        <f>IF(Tunneldaten!G$35="","",IF(Tunneldaten!G50&lt;&gt;"",Tunneldaten!G50,Parameter!$C$17))</f>
        <v/>
      </c>
      <c r="F20" s="347" t="str">
        <f>IF(Tunneldaten!H$35="","",IF(Tunneldaten!H50&lt;&gt;"",Tunneldaten!H50,Parameter!$C$17))</f>
        <v/>
      </c>
    </row>
    <row r="21" spans="1:8" ht="8.25" customHeight="1">
      <c r="A21" s="349"/>
      <c r="B21" s="350"/>
      <c r="C21" s="351"/>
      <c r="D21" s="351"/>
      <c r="E21" s="351"/>
      <c r="F21" s="351"/>
    </row>
    <row r="22" spans="1:8" ht="14.25" customHeight="1">
      <c r="A22" s="309" t="s">
        <v>101</v>
      </c>
      <c r="B22" s="309"/>
      <c r="C22" s="352"/>
      <c r="D22" s="352"/>
      <c r="E22" s="352"/>
      <c r="F22" s="352"/>
      <c r="H22" s="5" t="str">
        <f>IF(Tunneldaten!J$35="","",Tunneldaten!J51)</f>
        <v/>
      </c>
    </row>
    <row r="23" spans="1:8" ht="14.25" customHeight="1">
      <c r="A23" s="844" t="s">
        <v>102</v>
      </c>
      <c r="B23" s="342"/>
      <c r="C23" s="348" t="str">
        <f>IF(Tunneldaten!E$35="","",IF(Tunneldaten!E52&lt;&gt;"",Tunneldaten!E52,Parameter!$C$19))</f>
        <v>Pneubetrieb</v>
      </c>
      <c r="D23" s="348" t="str">
        <f>IF(Tunneldaten!F$35="","",IF(Tunneldaten!F52&lt;&gt;"",Tunneldaten!F52,Parameter!$C$19))</f>
        <v/>
      </c>
      <c r="E23" s="348" t="str">
        <f>IF(Tunneldaten!G$35="","",IF(Tunneldaten!G52&lt;&gt;"",Tunneldaten!G52,Parameter!$C$19))</f>
        <v/>
      </c>
      <c r="F23" s="348" t="str">
        <f>IF(Tunneldaten!H$35="","",IF(Tunneldaten!H52&lt;&gt;"",Tunneldaten!H52,Parameter!$C$19))</f>
        <v/>
      </c>
      <c r="H23" s="5" t="str">
        <f>IF(Tunneldaten!J$35="","",Tunneldaten!J52)</f>
        <v/>
      </c>
    </row>
    <row r="24" spans="1:8" ht="14.25" customHeight="1">
      <c r="A24" s="846" t="s">
        <v>103</v>
      </c>
      <c r="B24" s="346"/>
      <c r="C24" s="347" t="str">
        <f>IF(Tunneldaten!E$35="","",IF(Tunneldaten!E53&lt;&gt;"",Tunneldaten!E53,Parameter!$C$20))</f>
        <v>Pneubetrieb</v>
      </c>
      <c r="D24" s="347" t="str">
        <f>IF(Tunneldaten!F$35="","",IF(Tunneldaten!F53&lt;&gt;"",Tunneldaten!F53,Parameter!$C$20))</f>
        <v/>
      </c>
      <c r="E24" s="347" t="str">
        <f>IF(Tunneldaten!G$35="","",IF(Tunneldaten!G53&lt;&gt;"",Tunneldaten!G53,Parameter!$C$20))</f>
        <v/>
      </c>
      <c r="F24" s="347" t="str">
        <f>IF(Tunneldaten!H$35="","",IF(Tunneldaten!H53&lt;&gt;"",Tunneldaten!H53,Parameter!$C$20))</f>
        <v/>
      </c>
      <c r="H24" s="5" t="str">
        <f>IF(Tunneldaten!J$35="","",Tunneldaten!J53)</f>
        <v/>
      </c>
    </row>
    <row r="25" spans="1:8" ht="8.25" customHeight="1">
      <c r="A25" s="349"/>
      <c r="B25" s="350"/>
      <c r="C25" s="351"/>
      <c r="D25" s="351"/>
      <c r="E25" s="351"/>
      <c r="F25" s="351"/>
    </row>
    <row r="26" spans="1:8" ht="14.25" customHeight="1">
      <c r="A26" s="309" t="s">
        <v>113</v>
      </c>
      <c r="B26" s="309"/>
      <c r="C26" s="352"/>
      <c r="D26" s="352"/>
      <c r="E26" s="352"/>
      <c r="F26" s="352"/>
      <c r="H26" s="5" t="str">
        <f>IF(Tunneldaten!J$35="","",Tunneldaten!J55)</f>
        <v/>
      </c>
    </row>
    <row r="27" spans="1:8" ht="14.25" customHeight="1">
      <c r="A27" s="844" t="s">
        <v>95</v>
      </c>
      <c r="B27" s="342"/>
      <c r="C27" s="343"/>
      <c r="D27" s="343"/>
      <c r="E27" s="343"/>
      <c r="F27" s="343"/>
    </row>
    <row r="28" spans="1:8" ht="14.25" customHeight="1">
      <c r="A28" s="845" t="s">
        <v>96</v>
      </c>
      <c r="B28" s="344" t="s">
        <v>91</v>
      </c>
      <c r="C28" s="345">
        <f>IF(Tunneldaten!E$67="","",IF(Tunneldaten!E68&lt;&gt;"",Tunneldaten!E68,Parameter!$C22))</f>
        <v>50</v>
      </c>
      <c r="D28" s="345" t="str">
        <f>IF(Tunneldaten!F$67="","",IF(Tunneldaten!F68&lt;&gt;"",Tunneldaten!F68,Parameter!$C22))</f>
        <v/>
      </c>
      <c r="E28" s="345" t="str">
        <f>IF(Tunneldaten!G$67="","",IF(Tunneldaten!G68&lt;&gt;"",Tunneldaten!G68,Parameter!$C22))</f>
        <v/>
      </c>
      <c r="F28" s="345" t="str">
        <f>IF(Tunneldaten!H$67="","",IF(Tunneldaten!H68&lt;&gt;"",Tunneldaten!H68,Parameter!$C22))</f>
        <v/>
      </c>
    </row>
    <row r="29" spans="1:8" ht="14.25" customHeight="1">
      <c r="A29" s="846" t="s">
        <v>97</v>
      </c>
      <c r="B29" s="346" t="s">
        <v>5</v>
      </c>
      <c r="C29" s="345" t="str">
        <f>IF(Tunneldaten!E$67="","",IF(Tunneldaten!E69&lt;&gt;"",Tunneldaten!E69,Parameter!$C23))</f>
        <v>Strasse</v>
      </c>
      <c r="D29" s="345" t="str">
        <f>IF(Tunneldaten!F$67="","",IF(Tunneldaten!F69&lt;&gt;"",Tunneldaten!F69,Parameter!$C23))</f>
        <v/>
      </c>
      <c r="E29" s="345" t="str">
        <f>IF(Tunneldaten!G$67="","",IF(Tunneldaten!G69&lt;&gt;"",Tunneldaten!G69,Parameter!$C23))</f>
        <v/>
      </c>
      <c r="F29" s="345" t="str">
        <f>IF(Tunneldaten!H$67="","",IF(Tunneldaten!H69&lt;&gt;"",Tunneldaten!H69,Parameter!$C23))</f>
        <v/>
      </c>
    </row>
    <row r="30" spans="1:8" ht="14.25" customHeight="1">
      <c r="A30" s="844" t="s">
        <v>98</v>
      </c>
      <c r="B30" s="342"/>
      <c r="C30" s="348"/>
      <c r="D30" s="348"/>
      <c r="E30" s="348"/>
      <c r="F30" s="348"/>
    </row>
    <row r="31" spans="1:8" ht="14.25" customHeight="1">
      <c r="A31" s="845" t="s">
        <v>96</v>
      </c>
      <c r="B31" s="344" t="s">
        <v>91</v>
      </c>
      <c r="C31" s="345">
        <f>IF(Tunneldaten!E$67="","",IF(Tunneldaten!E71&lt;&gt;"",Tunneldaten!E71,Parameter!$C24))</f>
        <v>20</v>
      </c>
      <c r="D31" s="345" t="str">
        <f>IF(Tunneldaten!F$67="","",IF(Tunneldaten!F71&lt;&gt;"",Tunneldaten!F71,Parameter!$C24))</f>
        <v/>
      </c>
      <c r="E31" s="345" t="str">
        <f>IF(Tunneldaten!G$67="","",IF(Tunneldaten!G71&lt;&gt;"",Tunneldaten!G71,Parameter!$C24))</f>
        <v/>
      </c>
      <c r="F31" s="345" t="str">
        <f>IF(Tunneldaten!H$67="","",IF(Tunneldaten!H71&lt;&gt;"",Tunneldaten!H71,Parameter!$C24))</f>
        <v/>
      </c>
      <c r="H31" s="5" t="str">
        <f>IF(Tunneldaten!J$35="","",Tunneldaten!#REF!)</f>
        <v/>
      </c>
    </row>
    <row r="32" spans="1:8" ht="14.25" customHeight="1">
      <c r="A32" s="846" t="s">
        <v>97</v>
      </c>
      <c r="B32" s="346" t="s">
        <v>5</v>
      </c>
      <c r="C32" s="345" t="str">
        <f>IF(Tunneldaten!E$67="","",IF(Tunneldaten!E72&lt;&gt;"",Tunneldaten!E72,Parameter!$C25))</f>
        <v>Strasse</v>
      </c>
      <c r="D32" s="345" t="str">
        <f>IF(Tunneldaten!F$67="","",IF(Tunneldaten!F72&lt;&gt;"",Tunneldaten!F72,Parameter!$C25))</f>
        <v/>
      </c>
      <c r="E32" s="345" t="str">
        <f>IF(Tunneldaten!G$67="","",IF(Tunneldaten!G72&lt;&gt;"",Tunneldaten!G72,Parameter!$C25))</f>
        <v/>
      </c>
      <c r="F32" s="345" t="str">
        <f>IF(Tunneldaten!H$67="","",IF(Tunneldaten!H72&lt;&gt;"",Tunneldaten!H72,Parameter!$C25))</f>
        <v/>
      </c>
      <c r="H32" s="5" t="str">
        <f>IF(Tunneldaten!J$35="","",Tunneldaten!#REF!)</f>
        <v/>
      </c>
    </row>
    <row r="33" spans="1:12" ht="14.25" customHeight="1">
      <c r="A33" s="844" t="s">
        <v>192</v>
      </c>
      <c r="B33" s="342"/>
      <c r="C33" s="348"/>
      <c r="D33" s="348"/>
      <c r="E33" s="348"/>
      <c r="F33" s="348"/>
    </row>
    <row r="34" spans="1:12" ht="14.25" customHeight="1">
      <c r="A34" s="845" t="s">
        <v>96</v>
      </c>
      <c r="B34" s="344" t="s">
        <v>91</v>
      </c>
      <c r="C34" s="345">
        <f>IF(Tunneldaten!E$67="","",IF(Tunneldaten!E74&lt;&gt;"",Tunneldaten!E74,Parameter!$C26))</f>
        <v>40</v>
      </c>
      <c r="D34" s="345" t="str">
        <f>IF(Tunneldaten!F$67="","",IF(Tunneldaten!F74&lt;&gt;"",Tunneldaten!F74,Parameter!$C26))</f>
        <v/>
      </c>
      <c r="E34" s="345" t="str">
        <f>IF(Tunneldaten!G$67="","",IF(Tunneldaten!G74&lt;&gt;"",Tunneldaten!G74,Parameter!$C26))</f>
        <v/>
      </c>
      <c r="F34" s="345" t="str">
        <f>IF(Tunneldaten!H$67="","",IF(Tunneldaten!H74&lt;&gt;"",Tunneldaten!H74,Parameter!$C26))</f>
        <v/>
      </c>
      <c r="H34" s="5" t="str">
        <f>IF(Tunneldaten!J$35="","",Tunneldaten!#REF!)</f>
        <v/>
      </c>
    </row>
    <row r="35" spans="1:12" ht="14.25" customHeight="1">
      <c r="A35" s="846" t="s">
        <v>97</v>
      </c>
      <c r="B35" s="346" t="s">
        <v>5</v>
      </c>
      <c r="C35" s="347" t="str">
        <f>IF(Tunneldaten!E$67="","",IF(Tunneldaten!E75&lt;&gt;"",Tunneldaten!E75,Parameter!$C27))</f>
        <v>Strasse</v>
      </c>
      <c r="D35" s="347" t="str">
        <f>IF(Tunneldaten!F$67="","",IF(Tunneldaten!F75&lt;&gt;"",Tunneldaten!F75,Parameter!$C27))</f>
        <v/>
      </c>
      <c r="E35" s="347" t="str">
        <f>IF(Tunneldaten!G$67="","",IF(Tunneldaten!G75&lt;&gt;"",Tunneldaten!G75,Parameter!$C27))</f>
        <v/>
      </c>
      <c r="F35" s="347" t="str">
        <f>IF(Tunneldaten!H$67="","",IF(Tunneldaten!H75&lt;&gt;"",Tunneldaten!H75,Parameter!$C27))</f>
        <v/>
      </c>
      <c r="H35" s="5" t="str">
        <f>IF(Tunneldaten!J$35="","",Tunneldaten!J65)</f>
        <v/>
      </c>
    </row>
    <row r="37" spans="1:12" ht="14.25" customHeight="1">
      <c r="A37" s="1200" t="s">
        <v>597</v>
      </c>
      <c r="B37" s="1200"/>
      <c r="C37" s="1200"/>
    </row>
    <row r="38" spans="1:12" ht="8.25" customHeight="1"/>
    <row r="39" spans="1:12" ht="14.25" customHeight="1">
      <c r="A39" s="133" t="s">
        <v>598</v>
      </c>
      <c r="B39" s="133"/>
      <c r="C39" s="306" t="s">
        <v>46</v>
      </c>
      <c r="D39" s="306" t="s">
        <v>498</v>
      </c>
      <c r="E39" s="306" t="s">
        <v>499</v>
      </c>
      <c r="F39" s="306" t="s">
        <v>500</v>
      </c>
      <c r="G39" s="306" t="s">
        <v>501</v>
      </c>
      <c r="H39" s="306" t="s">
        <v>502</v>
      </c>
      <c r="I39" s="306" t="s">
        <v>599</v>
      </c>
      <c r="J39" s="6"/>
    </row>
    <row r="40" spans="1:12" ht="8.25" customHeight="1">
      <c r="C40" s="317"/>
      <c r="D40" s="321"/>
      <c r="E40" s="317"/>
      <c r="F40" s="317"/>
      <c r="G40" s="322"/>
      <c r="H40" s="317"/>
      <c r="I40" s="317"/>
      <c r="J40" s="6"/>
    </row>
    <row r="41" spans="1:12" ht="14.25" customHeight="1">
      <c r="A41" s="831" t="s">
        <v>52</v>
      </c>
      <c r="B41" s="353"/>
      <c r="C41" s="354" t="str">
        <f>IF(Tunneldaten!E13&lt;&gt;"",Tunneldaten!E13,"")</f>
        <v/>
      </c>
      <c r="D41" s="353" t="str">
        <f>IF(Tunneldaten!F12&lt;&gt;"",Tunneldaten!F13,"")</f>
        <v/>
      </c>
      <c r="E41" s="354" t="str">
        <f>IF(Tunneldaten!G12&lt;&gt;"",Tunneldaten!G13,"")</f>
        <v/>
      </c>
      <c r="F41" s="354" t="str">
        <f>IF(Tunneldaten!H12&lt;&gt;"",Tunneldaten!H13,"")</f>
        <v/>
      </c>
      <c r="G41" s="355" t="str">
        <f>IF(Tunneldaten!I12&lt;&gt;"",Tunneldaten!I13,"")</f>
        <v/>
      </c>
      <c r="H41" s="354" t="str">
        <f>IF(Tunneldaten!J12&lt;&gt;"",Tunneldaten!J13,"")</f>
        <v/>
      </c>
      <c r="I41" s="590"/>
    </row>
    <row r="42" spans="1:12" ht="14.25" customHeight="1">
      <c r="A42" s="835" t="s">
        <v>102</v>
      </c>
      <c r="B42" s="356"/>
      <c r="C42" s="357" t="str" cm="1">
        <f t="array" ref="C42:C43">IF(C41=$C$3,$C$23:$C$24,IF(C41=$D$3,$D$23:$D$24,IF(C41=$E$3,$E$23:$E$24,IF(C41=$F$3,$F$23:$F$24))))</f>
        <v/>
      </c>
      <c r="D42" s="356" t="str" cm="1">
        <f t="array" ref="D42:D43">IF(D41=$C$3,$C$23:$C$24,IF(D41=$D$3,$D$23:$D$24,IF(D41=$E$3,$E$23:$E$24,IF(D41=$F$3,$F$23:$F$24))))</f>
        <v/>
      </c>
      <c r="E42" s="357" t="str" cm="1">
        <f t="array" ref="E42:E43">IF(E41=$C$3,$C$23:$C$24,IF(E41=$D$3,$D$23:$D$24,IF(E41=$E$3,$E$23:$E$24,IF(E41=$F$3,$F$23:$F$24))))</f>
        <v/>
      </c>
      <c r="F42" s="357" t="str" cm="1">
        <f t="array" ref="F42:F43">IF(F41=$C$3,$C$23:$C$24,IF(F41=$D$3,$D$23:$D$24,IF(F41=$E$3,$E$23:$E$24,IF(F41=$F$3,$F$23:$F$24))))</f>
        <v/>
      </c>
      <c r="G42" s="358" t="str" cm="1">
        <f t="array" ref="G42:G43">IF(G41=$C$3,$C$23:$C$24,IF(G41=$D$3,$D$23:$D$24,IF(G41=$E$3,$E$23:$E$24,IF(G41=$F$3,$F$23:$F$24))))</f>
        <v/>
      </c>
      <c r="H42" s="357" t="str" cm="1">
        <f t="array" ref="H42:H43">IF(H41=$C$3,$C$23:$C$24,IF(H41=$D$3,$D$23:$D$24,IF(H41=$E$3,$E$23:$E$24,IF(H41=$F$3,$F$23:$F$24))))</f>
        <v/>
      </c>
      <c r="I42" s="590"/>
    </row>
    <row r="43" spans="1:12" ht="14.25" customHeight="1">
      <c r="A43" s="836" t="s">
        <v>103</v>
      </c>
      <c r="B43" s="359"/>
      <c r="C43" s="360" t="str">
        <v/>
      </c>
      <c r="D43" s="359" t="str">
        <v/>
      </c>
      <c r="E43" s="360" t="str">
        <v/>
      </c>
      <c r="F43" s="360" t="str">
        <v/>
      </c>
      <c r="G43" s="361" t="str">
        <v/>
      </c>
      <c r="H43" s="360" t="str">
        <v/>
      </c>
      <c r="I43" s="591"/>
    </row>
    <row r="44" spans="1:12" ht="14.25" customHeight="1">
      <c r="A44" s="1198" t="s">
        <v>189</v>
      </c>
      <c r="B44" s="356" t="s">
        <v>516</v>
      </c>
      <c r="C44" s="323">
        <f>'Baukosten-SM'!J53+'Baukosten-SPV'!J53+'Baukosten-MUL'!J53+'Baukosten-MUF'!J53+'Baukosten-TBM'!J53</f>
        <v>0</v>
      </c>
      <c r="D44" s="324">
        <f>'Baukosten-SM'!M53+'Baukosten-SPV'!M53+'Baukosten-MUL'!M53+'Baukosten-MUF'!M53+'Baukosten-TBM'!M53</f>
        <v>0</v>
      </c>
      <c r="E44" s="323">
        <f>'Baukosten-SM'!P53+'Baukosten-SPV'!P53+'Baukosten-MUL'!P53+'Baukosten-MUF'!P53+'Baukosten-TBM'!P53</f>
        <v>0</v>
      </c>
      <c r="F44" s="323">
        <f>'Baukosten-SM'!S53+'Baukosten-SPV'!S53+'Baukosten-MUL'!S53+'Baukosten-MUF'!S53+'Baukosten-TBM'!S53</f>
        <v>0</v>
      </c>
      <c r="G44" s="325">
        <f>'Baukosten-SM'!V53+'Baukosten-SPV'!V53+'Baukosten-MUL'!V53+'Baukosten-MUF'!V53+'Baukosten-TBM'!V53</f>
        <v>0</v>
      </c>
      <c r="H44" s="323">
        <f>'Baukosten-SM'!Y53+'Baukosten-SPV'!Y53+'Baukosten-MUL'!Y53+'Baukosten-MUF'!Y53+'Baukosten-TBM'!Y53</f>
        <v>0</v>
      </c>
      <c r="I44" s="589">
        <f>SUM(C44:H44)*AnzahlRöhren</f>
        <v>0</v>
      </c>
      <c r="J44" s="326"/>
      <c r="K44" s="327"/>
      <c r="L44" s="327"/>
    </row>
    <row r="45" spans="1:12" ht="14.25" customHeight="1">
      <c r="A45" s="1199"/>
      <c r="B45" s="359" t="s">
        <v>190</v>
      </c>
      <c r="C45" s="328">
        <f>C44*Parameter!$C$35</f>
        <v>0</v>
      </c>
      <c r="D45" s="329">
        <f>D44*Parameter!$C$35</f>
        <v>0</v>
      </c>
      <c r="E45" s="328">
        <f>E44*Parameter!$C$35</f>
        <v>0</v>
      </c>
      <c r="F45" s="328">
        <f>F44*Parameter!$C$35</f>
        <v>0</v>
      </c>
      <c r="G45" s="330">
        <f>G44*Parameter!$C$35</f>
        <v>0</v>
      </c>
      <c r="H45" s="328">
        <f>H44*Parameter!$C$35</f>
        <v>0</v>
      </c>
      <c r="I45" s="477">
        <f>SUM(C45:H45)*AnzahlRöhren</f>
        <v>0</v>
      </c>
      <c r="J45" s="326"/>
    </row>
    <row r="46" spans="1:12" ht="14.25" customHeight="1">
      <c r="A46" s="1198" t="s">
        <v>191</v>
      </c>
      <c r="B46" s="356" t="s">
        <v>516</v>
      </c>
      <c r="C46" s="323">
        <f>'Baukosten-SM'!J54+'Baukosten-SPV'!J54+'Baukosten-MUL'!J54+'Baukosten-MUF'!J54+'Baukosten-TBM'!J54</f>
        <v>0</v>
      </c>
      <c r="D46" s="324">
        <f>'Baukosten-SM'!M54+'Baukosten-SPV'!M54+'Baukosten-MUL'!M54+'Baukosten-MUF'!M54+'Baukosten-TBM'!M54</f>
        <v>0</v>
      </c>
      <c r="E46" s="323">
        <f>'Baukosten-SM'!P54+'Baukosten-SPV'!P54+'Baukosten-MUL'!P54+'Baukosten-MUF'!P54+'Baukosten-TBM'!P54</f>
        <v>0</v>
      </c>
      <c r="F46" s="323">
        <f>'Baukosten-SM'!S54+'Baukosten-SPV'!S54+'Baukosten-MUL'!S54+'Baukosten-MUF'!S54+'Baukosten-TBM'!S54</f>
        <v>0</v>
      </c>
      <c r="G46" s="325">
        <f>'Baukosten-SM'!V54+'Baukosten-SPV'!V54+'Baukosten-MUL'!V54+'Baukosten-MUF'!V54+'Baukosten-TBM'!V54</f>
        <v>0</v>
      </c>
      <c r="H46" s="323">
        <f>'Baukosten-SM'!Y54+'Baukosten-SPV'!Y54+'Baukosten-MUL'!Y54+'Baukosten-MUF'!Y54+'Baukosten-TBM'!Y54</f>
        <v>0</v>
      </c>
      <c r="I46" s="476">
        <f>SUM(C46:H46)*AnzahlRöhren</f>
        <v>0</v>
      </c>
      <c r="J46" s="326"/>
    </row>
    <row r="47" spans="1:12" ht="14.25" customHeight="1">
      <c r="A47" s="1199"/>
      <c r="B47" s="359" t="s">
        <v>190</v>
      </c>
      <c r="C47" s="328">
        <f>C46*Parameter!$C$32</f>
        <v>0</v>
      </c>
      <c r="D47" s="329">
        <f>D46*Parameter!$C$32</f>
        <v>0</v>
      </c>
      <c r="E47" s="328">
        <f>E46*Parameter!$C$32</f>
        <v>0</v>
      </c>
      <c r="F47" s="328">
        <f>F46*Parameter!$C$32</f>
        <v>0</v>
      </c>
      <c r="G47" s="330">
        <f>G46*Parameter!$C$32</f>
        <v>0</v>
      </c>
      <c r="H47" s="328">
        <f>H46*Parameter!$C$32</f>
        <v>0</v>
      </c>
      <c r="I47" s="477">
        <f>SUM(C47:H47)*AnzahlRöhren</f>
        <v>0</v>
      </c>
      <c r="J47" s="326"/>
    </row>
    <row r="48" spans="1:12" ht="14.25" customHeight="1">
      <c r="A48" s="1198" t="s">
        <v>583</v>
      </c>
      <c r="B48" s="356" t="s">
        <v>516</v>
      </c>
      <c r="C48" s="323">
        <f>'Baukosten-SM'!J55+'Baukosten-SPV'!J55+'Baukosten-MUL'!J55+'Baukosten-MUF'!J55+'Baukosten-TBM'!J55</f>
        <v>0</v>
      </c>
      <c r="D48" s="324">
        <f>'Baukosten-SM'!M55+'Baukosten-SPV'!M55+'Baukosten-MUL'!M55+'Baukosten-MUF'!M55+'Baukosten-TBM'!M55</f>
        <v>0</v>
      </c>
      <c r="E48" s="323">
        <f>'Baukosten-SM'!P55+'Baukosten-SPV'!P55+'Baukosten-MUL'!P55+'Baukosten-MUF'!P55+'Baukosten-TBM'!P55</f>
        <v>0</v>
      </c>
      <c r="F48" s="323">
        <f>'Baukosten-SM'!S55+'Baukosten-SPV'!S55+'Baukosten-MUL'!S55+'Baukosten-MUF'!S55+'Baukosten-TBM'!S55</f>
        <v>0</v>
      </c>
      <c r="G48" s="325">
        <f>'Baukosten-SM'!V55+'Baukosten-SPV'!V55+'Baukosten-MUL'!V55+'Baukosten-MUF'!V55+'Baukosten-TBM'!V55</f>
        <v>0</v>
      </c>
      <c r="H48" s="323">
        <f>'Baukosten-SM'!Y55+'Baukosten-SPV'!Y55+'Baukosten-MUL'!Y55+'Baukosten-MUF'!Y55+'Baukosten-TBM'!Y55</f>
        <v>0</v>
      </c>
      <c r="I48" s="476">
        <f>SUM(C48:H48)*Tunneldaten!$E$3</f>
        <v>0</v>
      </c>
      <c r="J48" s="326"/>
    </row>
    <row r="49" spans="1:11" ht="14.25" customHeight="1">
      <c r="A49" s="1199"/>
      <c r="B49" s="359" t="s">
        <v>190</v>
      </c>
      <c r="C49" s="328">
        <f>C48*Parameter!$C$32</f>
        <v>0</v>
      </c>
      <c r="D49" s="329">
        <f>D48*Parameter!$C$32</f>
        <v>0</v>
      </c>
      <c r="E49" s="328">
        <f>E48*Parameter!$C$32</f>
        <v>0</v>
      </c>
      <c r="F49" s="328">
        <f>F48*Parameter!$C$32</f>
        <v>0</v>
      </c>
      <c r="G49" s="330">
        <f>G48*Parameter!$C$32</f>
        <v>0</v>
      </c>
      <c r="H49" s="328">
        <f>H48*Parameter!$C$32</f>
        <v>0</v>
      </c>
      <c r="I49" s="477">
        <f>SUM(C49:H49)*Tunneldaten!$E$3</f>
        <v>0</v>
      </c>
      <c r="J49" s="326"/>
    </row>
    <row r="50" spans="1:11" ht="14.25" customHeight="1">
      <c r="A50" s="1198" t="s">
        <v>50</v>
      </c>
      <c r="B50" s="356" t="s">
        <v>516</v>
      </c>
      <c r="C50" s="323">
        <f>'Baukosten-SM'!J56+'Baukosten-SPV'!J56+'Baukosten-MUL'!J56+'Baukosten-MUF'!J56+'Baukosten-TBM'!J56</f>
        <v>0</v>
      </c>
      <c r="D50" s="324">
        <f>'Baukosten-SM'!M56+'Baukosten-SPV'!M56+'Baukosten-MUL'!M56+'Baukosten-MUF'!M56+'Baukosten-TBM'!M56</f>
        <v>0</v>
      </c>
      <c r="E50" s="323">
        <f>'Baukosten-SM'!P56+'Baukosten-SPV'!P56+'Baukosten-MUL'!P56+'Baukosten-MUF'!P56+'Baukosten-TBM'!P56</f>
        <v>0</v>
      </c>
      <c r="F50" s="323">
        <f>'Baukosten-SM'!S56+'Baukosten-SPV'!S56+'Baukosten-MUL'!S56+'Baukosten-MUF'!S56+'Baukosten-TBM'!S56</f>
        <v>0</v>
      </c>
      <c r="G50" s="325">
        <f>'Baukosten-SM'!V56+'Baukosten-SPV'!V56+'Baukosten-MUL'!V56+'Baukosten-MUF'!V56+'Baukosten-TBM'!V56</f>
        <v>0</v>
      </c>
      <c r="H50" s="323">
        <f>'Baukosten-SM'!Y56+'Baukosten-SPV'!Y56+'Baukosten-MUL'!Y56+'Baukosten-MUF'!Y56+'Baukosten-TBM'!Y56</f>
        <v>0</v>
      </c>
      <c r="I50" s="476">
        <f>SUM(C50:H50)*Tunneldaten!$E$3</f>
        <v>0</v>
      </c>
      <c r="J50" s="326"/>
    </row>
    <row r="51" spans="1:11" ht="14.25" customHeight="1">
      <c r="A51" s="1199"/>
      <c r="B51" s="359" t="s">
        <v>190</v>
      </c>
      <c r="C51" s="328">
        <f>C50*Parameter!$C$31</f>
        <v>0</v>
      </c>
      <c r="D51" s="329">
        <f>D50*Parameter!$C$31</f>
        <v>0</v>
      </c>
      <c r="E51" s="328">
        <f>E50*Parameter!$C$31</f>
        <v>0</v>
      </c>
      <c r="F51" s="328">
        <f>F50*Parameter!$C$31</f>
        <v>0</v>
      </c>
      <c r="G51" s="330">
        <f>G50*Parameter!$C$31</f>
        <v>0</v>
      </c>
      <c r="H51" s="328">
        <f>H50*Parameter!$C$31</f>
        <v>0</v>
      </c>
      <c r="I51" s="477">
        <f>SUM(C51:H51)*Tunneldaten!$E$3</f>
        <v>0</v>
      </c>
      <c r="J51" s="326"/>
    </row>
    <row r="52" spans="1:11" ht="14.25" customHeight="1">
      <c r="A52" s="831" t="s">
        <v>98</v>
      </c>
      <c r="B52" s="353" t="s">
        <v>190</v>
      </c>
      <c r="C52" s="331">
        <f>'Baukosten-SM'!J57+'Baukosten-SPV'!J57+'Baukosten-MUL'!J57+'Baukosten-MUF'!J57+'Baukosten-TBM'!J57</f>
        <v>0</v>
      </c>
      <c r="D52" s="332">
        <f>'Baukosten-SM'!M57+'Baukosten-SPV'!M57+'Baukosten-MUL'!M57+'Baukosten-MUF'!M57+'Baukosten-TBM'!M57</f>
        <v>0</v>
      </c>
      <c r="E52" s="331">
        <f>'Baukosten-SM'!P57+'Baukosten-SPV'!P57+'Baukosten-MUL'!P57+'Baukosten-MUF'!P57+'Baukosten-TBM'!P57</f>
        <v>0</v>
      </c>
      <c r="F52" s="331">
        <f>'Baukosten-SM'!S57+'Baukosten-SPV'!S57+'Baukosten-MUL'!S57+'Baukosten-MUF'!S57+'Baukosten-TBM'!S57</f>
        <v>0</v>
      </c>
      <c r="G52" s="333">
        <f>'Baukosten-SM'!V57+'Baukosten-SPV'!V57+'Baukosten-MUL'!V57+'Baukosten-MUF'!V57+'Baukosten-TBM'!V57</f>
        <v>0</v>
      </c>
      <c r="H52" s="331">
        <f>'Baukosten-SM'!Y57+'Baukosten-SPV'!Y57+'Baukosten-MUL'!Y57+'Baukosten-MUF'!Y57+'Baukosten-TBM'!Y57</f>
        <v>0</v>
      </c>
      <c r="I52" s="588">
        <f>SUM(C52:H52)*AnzahlRöhren</f>
        <v>0</v>
      </c>
      <c r="J52" s="326"/>
    </row>
    <row r="53" spans="1:11" ht="14.25" customHeight="1">
      <c r="A53" s="1198" t="s">
        <v>192</v>
      </c>
      <c r="B53" s="356" t="s">
        <v>40</v>
      </c>
      <c r="C53" s="323">
        <f>'Baukosten-SM'!J58+'Baukosten-SPV'!J58+'Baukosten-MUL'!J58+'Baukosten-MUF'!J58+'Baukosten-TBM'!J58</f>
        <v>0</v>
      </c>
      <c r="D53" s="324">
        <f>'Baukosten-SM'!M58+'Baukosten-SPV'!M58+'Baukosten-MUL'!M58+'Baukosten-MUF'!M58+'Baukosten-TBM'!M58</f>
        <v>0</v>
      </c>
      <c r="E53" s="323">
        <f>'Baukosten-SM'!P58+'Baukosten-SPV'!P58+'Baukosten-MUL'!P58+'Baukosten-MUF'!P58+'Baukosten-TBM'!P58</f>
        <v>0</v>
      </c>
      <c r="F53" s="323">
        <f>'Baukosten-SM'!S58+'Baukosten-SPV'!S58+'Baukosten-MUL'!S58+'Baukosten-MUF'!S58+'Baukosten-TBM'!S58</f>
        <v>0</v>
      </c>
      <c r="G53" s="325">
        <f>'Baukosten-SM'!V58+'Baukosten-SPV'!V58+'Baukosten-MUL'!V58+'Baukosten-MUF'!V58+'Baukosten-TBM'!V58</f>
        <v>0</v>
      </c>
      <c r="H53" s="323">
        <f>'Baukosten-SM'!Y58+'Baukosten-SPV'!Y58+'Baukosten-MUL'!Y58+'Baukosten-MUF'!Y58+'Baukosten-TBM'!Y58</f>
        <v>0</v>
      </c>
      <c r="I53" s="476">
        <f>SUM(C53:H53)*AnzahlRöhren</f>
        <v>0</v>
      </c>
      <c r="J53" s="326"/>
    </row>
    <row r="54" spans="1:11" ht="14.25" customHeight="1">
      <c r="A54" s="1199"/>
      <c r="B54" s="359" t="s">
        <v>190</v>
      </c>
      <c r="C54" s="328">
        <f>C53*Parameter!$C$34</f>
        <v>0</v>
      </c>
      <c r="D54" s="329">
        <f>D53*Parameter!$C$34</f>
        <v>0</v>
      </c>
      <c r="E54" s="328">
        <f>E53*Parameter!$C$34</f>
        <v>0</v>
      </c>
      <c r="F54" s="328">
        <f>F53*Parameter!$C$34</f>
        <v>0</v>
      </c>
      <c r="G54" s="330">
        <f>G53*Parameter!$C$34</f>
        <v>0</v>
      </c>
      <c r="H54" s="328">
        <f>H53*Parameter!$C$34</f>
        <v>0</v>
      </c>
      <c r="I54" s="477">
        <f>SUM(C54:H54)*AnzahlRöhren</f>
        <v>0</v>
      </c>
      <c r="J54" s="326"/>
    </row>
    <row r="55" spans="1:11" ht="14.25" customHeight="1">
      <c r="A55" s="1198" t="s">
        <v>100</v>
      </c>
      <c r="B55" s="356" t="s">
        <v>516</v>
      </c>
      <c r="C55" s="323">
        <f>'Baukosten-SM'!J59+'Baukosten-SPV'!J59+'Baukosten-MUL'!J59+'Baukosten-MUF'!J59+'Baukosten-TBM'!J59</f>
        <v>0</v>
      </c>
      <c r="D55" s="324">
        <f>'Baukosten-SM'!M59+'Baukosten-SPV'!M59+'Baukosten-MUL'!M59+'Baukosten-MUF'!M59+'Baukosten-TBM'!M59</f>
        <v>0</v>
      </c>
      <c r="E55" s="323">
        <f>'Baukosten-SM'!P59+'Baukosten-SPV'!P59+'Baukosten-MUL'!P59+'Baukosten-MUF'!P59+'Baukosten-TBM'!P59</f>
        <v>0</v>
      </c>
      <c r="F55" s="323">
        <f>'Baukosten-SM'!S59+'Baukosten-SPV'!S59+'Baukosten-MUL'!S59+'Baukosten-MUF'!S59+'Baukosten-TBM'!S59</f>
        <v>0</v>
      </c>
      <c r="G55" s="325">
        <f>'Baukosten-SM'!V59+'Baukosten-SPV'!V59+'Baukosten-MUL'!V59+'Baukosten-MUF'!V59+'Baukosten-TBM'!V59</f>
        <v>0</v>
      </c>
      <c r="H55" s="323">
        <f>'Baukosten-SM'!Y59+'Baukosten-SPV'!Y59+'Baukosten-MUL'!Y59+'Baukosten-MUF'!Y59+'Baukosten-TBM'!Y59</f>
        <v>0</v>
      </c>
      <c r="I55" s="476">
        <f>SUM(C55:H55)*AnzahlRöhren</f>
        <v>0</v>
      </c>
      <c r="J55" s="326"/>
    </row>
    <row r="56" spans="1:11" ht="14.25" customHeight="1">
      <c r="A56" s="1199"/>
      <c r="B56" s="359" t="s">
        <v>190</v>
      </c>
      <c r="C56" s="328">
        <f>C55*Parameter!$C$33</f>
        <v>0</v>
      </c>
      <c r="D56" s="329">
        <f>D55*Parameter!$C$33</f>
        <v>0</v>
      </c>
      <c r="E56" s="328">
        <f>E55*Parameter!$C$33</f>
        <v>0</v>
      </c>
      <c r="F56" s="328">
        <f>F55*Parameter!$C$33</f>
        <v>0</v>
      </c>
      <c r="G56" s="330">
        <f>G55*Parameter!$C$33</f>
        <v>0</v>
      </c>
      <c r="H56" s="328">
        <f>H55*Parameter!$C$33</f>
        <v>0</v>
      </c>
      <c r="I56" s="477">
        <f>SUM(C56:H56)*AnzahlRöhren</f>
        <v>0</v>
      </c>
      <c r="J56" s="326"/>
    </row>
    <row r="57" spans="1:11" ht="14.25" customHeight="1">
      <c r="A57" s="839" t="s">
        <v>600</v>
      </c>
      <c r="B57" s="362" t="s">
        <v>62</v>
      </c>
      <c r="C57" s="334" cm="1">
        <f t="array" ref="C57:H57">Tunneldaten!E16:J16</f>
        <v>0</v>
      </c>
      <c r="D57" s="335">
        <v>0</v>
      </c>
      <c r="E57" s="334">
        <v>0</v>
      </c>
      <c r="F57" s="334">
        <v>0</v>
      </c>
      <c r="G57" s="336">
        <v>0</v>
      </c>
      <c r="H57" s="334">
        <v>0</v>
      </c>
      <c r="I57" s="316"/>
      <c r="J57" s="316"/>
    </row>
    <row r="58" spans="1:11" ht="14.25" customHeight="1">
      <c r="A58" s="831" t="s">
        <v>601</v>
      </c>
      <c r="B58" s="353" t="s">
        <v>91</v>
      </c>
      <c r="C58" s="337" cm="1">
        <f t="array" ref="C58:H58">Tunneldaten!E32:J32</f>
        <v>0</v>
      </c>
      <c r="D58" s="338">
        <v>0</v>
      </c>
      <c r="E58" s="337">
        <v>0</v>
      </c>
      <c r="F58" s="337">
        <v>0</v>
      </c>
      <c r="G58" s="339">
        <v>0</v>
      </c>
      <c r="H58" s="337">
        <v>0</v>
      </c>
      <c r="I58" s="316"/>
      <c r="J58" s="316"/>
    </row>
    <row r="59" spans="1:11" ht="14.25" customHeight="1">
      <c r="C59" s="340"/>
      <c r="D59" s="340"/>
      <c r="E59" s="340"/>
      <c r="F59" s="340"/>
      <c r="G59" s="340"/>
      <c r="H59" s="340"/>
      <c r="K59" s="271"/>
    </row>
    <row r="60" spans="1:11" ht="14.25" customHeight="1">
      <c r="A60" s="307" t="s">
        <v>602</v>
      </c>
      <c r="B60" s="24"/>
      <c r="C60" s="306" t="s">
        <v>46</v>
      </c>
      <c r="D60" s="306" t="s">
        <v>498</v>
      </c>
      <c r="E60" s="306" t="s">
        <v>499</v>
      </c>
      <c r="F60" s="306" t="s">
        <v>500</v>
      </c>
      <c r="G60" s="306" t="s">
        <v>501</v>
      </c>
      <c r="H60" s="306" t="s">
        <v>502</v>
      </c>
    </row>
    <row r="61" spans="1:11" ht="8.25" customHeight="1">
      <c r="C61" s="317"/>
      <c r="D61" s="321"/>
      <c r="E61" s="317"/>
      <c r="F61" s="317"/>
      <c r="G61" s="322"/>
      <c r="H61" s="317"/>
      <c r="I61" s="6"/>
      <c r="J61" s="6"/>
    </row>
    <row r="62" spans="1:11" ht="14.25" customHeight="1">
      <c r="A62" s="835" t="s">
        <v>189</v>
      </c>
      <c r="B62" s="356" t="s">
        <v>352</v>
      </c>
      <c r="C62" s="313">
        <f t="shared" ref="C62:H62" si="0">C45*C$58</f>
        <v>0</v>
      </c>
      <c r="D62" s="313">
        <f t="shared" si="0"/>
        <v>0</v>
      </c>
      <c r="E62" s="313">
        <f t="shared" si="0"/>
        <v>0</v>
      </c>
      <c r="F62" s="313">
        <f t="shared" si="0"/>
        <v>0</v>
      </c>
      <c r="G62" s="313">
        <f t="shared" si="0"/>
        <v>0</v>
      </c>
      <c r="H62" s="313">
        <f t="shared" si="0"/>
        <v>0</v>
      </c>
      <c r="I62" s="316"/>
    </row>
    <row r="63" spans="1:11" ht="14.25" customHeight="1">
      <c r="A63" s="837" t="s">
        <v>191</v>
      </c>
      <c r="B63" s="365" t="s">
        <v>352</v>
      </c>
      <c r="C63" s="314">
        <f t="shared" ref="C63:H63" si="1">C$58*C48</f>
        <v>0</v>
      </c>
      <c r="D63" s="314">
        <f t="shared" si="1"/>
        <v>0</v>
      </c>
      <c r="E63" s="314">
        <f t="shared" si="1"/>
        <v>0</v>
      </c>
      <c r="F63" s="314">
        <f t="shared" si="1"/>
        <v>0</v>
      </c>
      <c r="G63" s="314">
        <f t="shared" si="1"/>
        <v>0</v>
      </c>
      <c r="H63" s="314">
        <f t="shared" si="1"/>
        <v>0</v>
      </c>
      <c r="I63" s="316"/>
    </row>
    <row r="64" spans="1:11" ht="14.25" customHeight="1">
      <c r="A64" s="837" t="s">
        <v>98</v>
      </c>
      <c r="B64" s="365" t="s">
        <v>352</v>
      </c>
      <c r="C64" s="314">
        <f t="shared" ref="C64:H64" si="2">IF(C50=0,C$58*C52,0)</f>
        <v>0</v>
      </c>
      <c r="D64" s="314">
        <f t="shared" si="2"/>
        <v>0</v>
      </c>
      <c r="E64" s="314">
        <f t="shared" si="2"/>
        <v>0</v>
      </c>
      <c r="F64" s="314">
        <f t="shared" si="2"/>
        <v>0</v>
      </c>
      <c r="G64" s="314">
        <f t="shared" si="2"/>
        <v>0</v>
      </c>
      <c r="H64" s="314">
        <f t="shared" si="2"/>
        <v>0</v>
      </c>
      <c r="I64" s="316"/>
    </row>
    <row r="65" spans="1:11" ht="14.25" customHeight="1">
      <c r="A65" s="837" t="s">
        <v>192</v>
      </c>
      <c r="B65" s="365" t="s">
        <v>352</v>
      </c>
      <c r="C65" s="314">
        <f t="shared" ref="C65:H65" si="3">C$58*C54</f>
        <v>0</v>
      </c>
      <c r="D65" s="314">
        <f t="shared" si="3"/>
        <v>0</v>
      </c>
      <c r="E65" s="314">
        <f t="shared" si="3"/>
        <v>0</v>
      </c>
      <c r="F65" s="314">
        <f t="shared" si="3"/>
        <v>0</v>
      </c>
      <c r="G65" s="314">
        <f t="shared" si="3"/>
        <v>0</v>
      </c>
      <c r="H65" s="314">
        <f t="shared" si="3"/>
        <v>0</v>
      </c>
      <c r="I65" s="316"/>
    </row>
    <row r="66" spans="1:11" ht="14.25" customHeight="1">
      <c r="A66" s="837" t="s">
        <v>100</v>
      </c>
      <c r="B66" s="365" t="s">
        <v>352</v>
      </c>
      <c r="C66" s="314">
        <f t="shared" ref="C66:H66" si="4">C$58*C56</f>
        <v>0</v>
      </c>
      <c r="D66" s="314">
        <f t="shared" si="4"/>
        <v>0</v>
      </c>
      <c r="E66" s="314">
        <f t="shared" si="4"/>
        <v>0</v>
      </c>
      <c r="F66" s="314">
        <f t="shared" si="4"/>
        <v>0</v>
      </c>
      <c r="G66" s="314">
        <f t="shared" si="4"/>
        <v>0</v>
      </c>
      <c r="H66" s="314">
        <f t="shared" si="4"/>
        <v>0</v>
      </c>
      <c r="I66" s="316"/>
    </row>
    <row r="67" spans="1:11" ht="14.25" customHeight="1">
      <c r="A67" s="836" t="s">
        <v>50</v>
      </c>
      <c r="B67" s="359" t="s">
        <v>352</v>
      </c>
      <c r="C67" s="315">
        <f t="shared" ref="C67:H67" si="5">C51</f>
        <v>0</v>
      </c>
      <c r="D67" s="315">
        <f t="shared" si="5"/>
        <v>0</v>
      </c>
      <c r="E67" s="315">
        <f t="shared" si="5"/>
        <v>0</v>
      </c>
      <c r="F67" s="315">
        <f t="shared" si="5"/>
        <v>0</v>
      </c>
      <c r="G67" s="315">
        <f t="shared" si="5"/>
        <v>0</v>
      </c>
      <c r="H67" s="315">
        <f t="shared" si="5"/>
        <v>0</v>
      </c>
      <c r="I67" s="316"/>
    </row>
    <row r="68" spans="1:11" ht="14.25" customHeight="1">
      <c r="B68" s="6"/>
      <c r="C68" s="340"/>
      <c r="D68" s="340"/>
      <c r="E68" s="340"/>
      <c r="F68" s="340"/>
      <c r="G68" s="340"/>
      <c r="H68" s="340"/>
      <c r="K68" s="271"/>
    </row>
    <row r="69" spans="1:11" ht="14.25" customHeight="1">
      <c r="A69" s="312" t="s">
        <v>592</v>
      </c>
      <c r="B69" s="367"/>
      <c r="C69" s="487" t="s">
        <v>46</v>
      </c>
      <c r="D69" s="487" t="s">
        <v>498</v>
      </c>
      <c r="E69" s="487" t="s">
        <v>499</v>
      </c>
      <c r="F69" s="487" t="s">
        <v>500</v>
      </c>
      <c r="G69" s="487" t="s">
        <v>501</v>
      </c>
      <c r="H69" s="487" t="s">
        <v>502</v>
      </c>
      <c r="I69" s="316"/>
    </row>
    <row r="70" spans="1:11" ht="8.25" customHeight="1">
      <c r="B70" s="6"/>
      <c r="C70" s="317"/>
      <c r="D70" s="321"/>
      <c r="E70" s="317"/>
      <c r="F70" s="317"/>
      <c r="G70" s="322"/>
      <c r="H70" s="317"/>
      <c r="I70" s="6"/>
      <c r="J70" s="6"/>
    </row>
    <row r="71" spans="1:11" ht="14.25" customHeight="1">
      <c r="A71" s="840" t="s">
        <v>223</v>
      </c>
      <c r="B71" s="368" t="s">
        <v>352</v>
      </c>
      <c r="C71" s="318">
        <f t="shared" ref="C71:H74" si="6">IF($A71=C$42,SUM(C$63:C$67),0)+IF($A71=C$43,SUM(C$62),0)</f>
        <v>0</v>
      </c>
      <c r="D71" s="318">
        <f t="shared" si="6"/>
        <v>0</v>
      </c>
      <c r="E71" s="318">
        <f t="shared" si="6"/>
        <v>0</v>
      </c>
      <c r="F71" s="318">
        <f t="shared" si="6"/>
        <v>0</v>
      </c>
      <c r="G71" s="318">
        <f t="shared" si="6"/>
        <v>0</v>
      </c>
      <c r="H71" s="318">
        <f t="shared" si="6"/>
        <v>0</v>
      </c>
      <c r="I71" s="316"/>
      <c r="J71" s="270"/>
    </row>
    <row r="72" spans="1:11" ht="14.25" customHeight="1">
      <c r="A72" s="841" t="s">
        <v>229</v>
      </c>
      <c r="B72" s="369" t="s">
        <v>352</v>
      </c>
      <c r="C72" s="319">
        <f t="shared" si="6"/>
        <v>0</v>
      </c>
      <c r="D72" s="319">
        <f t="shared" si="6"/>
        <v>0</v>
      </c>
      <c r="E72" s="319">
        <f t="shared" si="6"/>
        <v>0</v>
      </c>
      <c r="F72" s="319">
        <f t="shared" si="6"/>
        <v>0</v>
      </c>
      <c r="G72" s="319">
        <f t="shared" si="6"/>
        <v>0</v>
      </c>
      <c r="H72" s="319">
        <f t="shared" si="6"/>
        <v>0</v>
      </c>
      <c r="I72" s="316"/>
      <c r="J72" s="270"/>
    </row>
    <row r="73" spans="1:11" ht="14.25" customHeight="1">
      <c r="A73" s="841" t="s">
        <v>232</v>
      </c>
      <c r="B73" s="369" t="s">
        <v>352</v>
      </c>
      <c r="C73" s="319">
        <f t="shared" si="6"/>
        <v>0</v>
      </c>
      <c r="D73" s="319">
        <f t="shared" si="6"/>
        <v>0</v>
      </c>
      <c r="E73" s="319">
        <f t="shared" si="6"/>
        <v>0</v>
      </c>
      <c r="F73" s="319">
        <f t="shared" si="6"/>
        <v>0</v>
      </c>
      <c r="G73" s="319">
        <f t="shared" si="6"/>
        <v>0</v>
      </c>
      <c r="H73" s="319">
        <f t="shared" si="6"/>
        <v>0</v>
      </c>
      <c r="I73" s="316"/>
      <c r="J73" s="270"/>
    </row>
    <row r="74" spans="1:11" ht="14.25" customHeight="1">
      <c r="A74" s="842" t="s">
        <v>234</v>
      </c>
      <c r="B74" s="370" t="s">
        <v>352</v>
      </c>
      <c r="C74" s="320">
        <f t="shared" si="6"/>
        <v>0</v>
      </c>
      <c r="D74" s="320">
        <f t="shared" si="6"/>
        <v>0</v>
      </c>
      <c r="E74" s="320">
        <f t="shared" si="6"/>
        <v>0</v>
      </c>
      <c r="F74" s="320">
        <f t="shared" si="6"/>
        <v>0</v>
      </c>
      <c r="G74" s="320">
        <f t="shared" si="6"/>
        <v>0</v>
      </c>
      <c r="H74" s="320">
        <f t="shared" si="6"/>
        <v>0</v>
      </c>
      <c r="I74" s="316"/>
      <c r="J74" s="270"/>
    </row>
    <row r="75" spans="1:11" ht="14.25" customHeight="1">
      <c r="C75" s="271"/>
      <c r="D75" s="271"/>
      <c r="E75" s="271"/>
      <c r="F75" s="271"/>
      <c r="G75" s="271"/>
      <c r="H75" s="271"/>
      <c r="I75" s="271"/>
    </row>
    <row r="76" spans="1:11" ht="14.25" customHeight="1">
      <c r="A76" s="1200" t="s">
        <v>634</v>
      </c>
      <c r="B76" s="1200"/>
      <c r="C76" s="1200"/>
      <c r="D76" s="271"/>
      <c r="E76" s="271"/>
      <c r="F76" s="271"/>
      <c r="G76" s="271"/>
      <c r="H76" s="271"/>
      <c r="I76" s="271"/>
    </row>
    <row r="77" spans="1:11" ht="8.25" customHeight="1"/>
    <row r="78" spans="1:11" ht="14.25" customHeight="1">
      <c r="A78" s="133" t="s">
        <v>603</v>
      </c>
      <c r="B78" s="133"/>
      <c r="C78" s="311">
        <v>1</v>
      </c>
      <c r="D78" s="311">
        <v>2</v>
      </c>
      <c r="E78" s="311">
        <v>3</v>
      </c>
      <c r="F78" s="311">
        <v>4</v>
      </c>
      <c r="G78" s="271"/>
      <c r="H78" s="271"/>
      <c r="I78" s="271"/>
    </row>
    <row r="79" spans="1:11" ht="8.25" customHeight="1">
      <c r="C79" s="317"/>
      <c r="D79" s="321"/>
      <c r="E79" s="317"/>
      <c r="F79" s="317"/>
      <c r="G79" s="271"/>
      <c r="H79" s="271"/>
      <c r="I79" s="271"/>
    </row>
    <row r="80" spans="1:11" ht="14.25" customHeight="1">
      <c r="A80" s="1198" t="s">
        <v>189</v>
      </c>
      <c r="B80" s="356" t="s">
        <v>516</v>
      </c>
      <c r="C80" s="323">
        <f t="shared" ref="C80:F85" si="7">SUMIF($C$41:$H$41,C$78,$C44:$H44)</f>
        <v>0</v>
      </c>
      <c r="D80" s="324">
        <f t="shared" si="7"/>
        <v>0</v>
      </c>
      <c r="E80" s="323">
        <f t="shared" si="7"/>
        <v>0</v>
      </c>
      <c r="F80" s="323">
        <f t="shared" si="7"/>
        <v>0</v>
      </c>
      <c r="G80" s="271"/>
      <c r="H80" s="271"/>
      <c r="I80" s="271"/>
    </row>
    <row r="81" spans="1:9" ht="14.25" customHeight="1">
      <c r="A81" s="1199"/>
      <c r="B81" s="359" t="s">
        <v>190</v>
      </c>
      <c r="C81" s="328">
        <f t="shared" si="7"/>
        <v>0</v>
      </c>
      <c r="D81" s="329">
        <f t="shared" si="7"/>
        <v>0</v>
      </c>
      <c r="E81" s="328">
        <f t="shared" si="7"/>
        <v>0</v>
      </c>
      <c r="F81" s="328">
        <f t="shared" si="7"/>
        <v>0</v>
      </c>
      <c r="G81" s="271"/>
      <c r="H81" s="271"/>
      <c r="I81" s="271"/>
    </row>
    <row r="82" spans="1:9" ht="14.25" customHeight="1">
      <c r="A82" s="1198" t="s">
        <v>191</v>
      </c>
      <c r="B82" s="356" t="s">
        <v>516</v>
      </c>
      <c r="C82" s="323">
        <f t="shared" si="7"/>
        <v>0</v>
      </c>
      <c r="D82" s="324">
        <f t="shared" si="7"/>
        <v>0</v>
      </c>
      <c r="E82" s="323">
        <f t="shared" si="7"/>
        <v>0</v>
      </c>
      <c r="F82" s="323">
        <f t="shared" si="7"/>
        <v>0</v>
      </c>
      <c r="G82" s="271"/>
      <c r="H82" s="271"/>
      <c r="I82" s="271"/>
    </row>
    <row r="83" spans="1:9" ht="14.25" customHeight="1">
      <c r="A83" s="1199"/>
      <c r="B83" s="359" t="s">
        <v>190</v>
      </c>
      <c r="C83" s="328">
        <f t="shared" si="7"/>
        <v>0</v>
      </c>
      <c r="D83" s="329">
        <f t="shared" si="7"/>
        <v>0</v>
      </c>
      <c r="E83" s="328">
        <f t="shared" si="7"/>
        <v>0</v>
      </c>
      <c r="F83" s="328">
        <f t="shared" si="7"/>
        <v>0</v>
      </c>
      <c r="G83" s="271"/>
      <c r="H83" s="271"/>
      <c r="I83" s="271"/>
    </row>
    <row r="84" spans="1:9" ht="14.25" customHeight="1">
      <c r="A84" s="1198" t="s">
        <v>583</v>
      </c>
      <c r="B84" s="356" t="s">
        <v>516</v>
      </c>
      <c r="C84" s="323">
        <f t="shared" si="7"/>
        <v>0</v>
      </c>
      <c r="D84" s="324">
        <f t="shared" si="7"/>
        <v>0</v>
      </c>
      <c r="E84" s="323">
        <f t="shared" si="7"/>
        <v>0</v>
      </c>
      <c r="F84" s="323">
        <f t="shared" si="7"/>
        <v>0</v>
      </c>
      <c r="G84" s="271"/>
      <c r="H84" s="271"/>
      <c r="I84" s="271"/>
    </row>
    <row r="85" spans="1:9" ht="14.25" customHeight="1">
      <c r="A85" s="1199"/>
      <c r="B85" s="359" t="s">
        <v>190</v>
      </c>
      <c r="C85" s="328">
        <f t="shared" si="7"/>
        <v>0</v>
      </c>
      <c r="D85" s="329">
        <f t="shared" si="7"/>
        <v>0</v>
      </c>
      <c r="E85" s="328">
        <f t="shared" si="7"/>
        <v>0</v>
      </c>
      <c r="F85" s="328">
        <f t="shared" si="7"/>
        <v>0</v>
      </c>
      <c r="G85" s="271"/>
      <c r="H85" s="271"/>
      <c r="I85" s="271"/>
    </row>
    <row r="86" spans="1:9" ht="14.25" customHeight="1">
      <c r="A86" s="847" t="s">
        <v>95</v>
      </c>
      <c r="B86" s="356" t="s">
        <v>190</v>
      </c>
      <c r="C86" s="323">
        <f>C84*Parameter!$C$41</f>
        <v>0</v>
      </c>
      <c r="D86" s="323">
        <f>D84*Parameter!$C$41</f>
        <v>0</v>
      </c>
      <c r="E86" s="323">
        <f>E84*Parameter!$C$41</f>
        <v>0</v>
      </c>
      <c r="F86" s="323">
        <f>F84*Parameter!$C$41</f>
        <v>0</v>
      </c>
      <c r="G86" s="271"/>
      <c r="H86" s="271"/>
      <c r="I86" s="271"/>
    </row>
    <row r="87" spans="1:9" ht="14.25" customHeight="1">
      <c r="A87" s="847" t="s">
        <v>604</v>
      </c>
      <c r="B87" s="356" t="s">
        <v>190</v>
      </c>
      <c r="C87" s="323">
        <f>MAX(C84*BetonZuschlagstoffe-C128,0)</f>
        <v>0</v>
      </c>
      <c r="D87" s="323">
        <f>MAX(D84*BetonZuschlagstoffe-D128,0)</f>
        <v>0</v>
      </c>
      <c r="E87" s="323">
        <f>MAX(E84*BetonZuschlagstoffe-E128,0)</f>
        <v>0</v>
      </c>
      <c r="F87" s="323">
        <f>MAX(F84*BetonZuschlagstoffe-F128,0)</f>
        <v>0</v>
      </c>
      <c r="G87" s="271"/>
      <c r="H87" s="271"/>
      <c r="I87" s="271"/>
    </row>
    <row r="88" spans="1:9" ht="14.25" customHeight="1">
      <c r="A88" s="1198" t="s">
        <v>50</v>
      </c>
      <c r="B88" s="356" t="s">
        <v>516</v>
      </c>
      <c r="C88" s="323">
        <f t="shared" ref="C88:F94" si="8">SUMIF($C$41:$H$41,C$78,$C50:$H50)</f>
        <v>0</v>
      </c>
      <c r="D88" s="324">
        <f t="shared" si="8"/>
        <v>0</v>
      </c>
      <c r="E88" s="323">
        <f t="shared" si="8"/>
        <v>0</v>
      </c>
      <c r="F88" s="323">
        <f t="shared" si="8"/>
        <v>0</v>
      </c>
      <c r="G88" s="271"/>
      <c r="H88" s="271"/>
      <c r="I88" s="271"/>
    </row>
    <row r="89" spans="1:9" ht="14.25" customHeight="1">
      <c r="A89" s="1199"/>
      <c r="B89" s="359" t="s">
        <v>190</v>
      </c>
      <c r="C89" s="328">
        <f t="shared" si="8"/>
        <v>0</v>
      </c>
      <c r="D89" s="329">
        <f t="shared" si="8"/>
        <v>0</v>
      </c>
      <c r="E89" s="328">
        <f t="shared" si="8"/>
        <v>0</v>
      </c>
      <c r="F89" s="328">
        <f t="shared" si="8"/>
        <v>0</v>
      </c>
    </row>
    <row r="90" spans="1:9" ht="14.25" customHeight="1">
      <c r="A90" s="831" t="s">
        <v>98</v>
      </c>
      <c r="B90" s="353" t="s">
        <v>190</v>
      </c>
      <c r="C90" s="331">
        <f t="shared" si="8"/>
        <v>0</v>
      </c>
      <c r="D90" s="332">
        <f t="shared" si="8"/>
        <v>0</v>
      </c>
      <c r="E90" s="331">
        <f t="shared" si="8"/>
        <v>0</v>
      </c>
      <c r="F90" s="331">
        <f t="shared" si="8"/>
        <v>0</v>
      </c>
    </row>
    <row r="91" spans="1:9" ht="14.25" customHeight="1">
      <c r="A91" s="1198" t="s">
        <v>192</v>
      </c>
      <c r="B91" s="356" t="s">
        <v>40</v>
      </c>
      <c r="C91" s="323">
        <f t="shared" si="8"/>
        <v>0</v>
      </c>
      <c r="D91" s="324">
        <f t="shared" si="8"/>
        <v>0</v>
      </c>
      <c r="E91" s="323">
        <f t="shared" si="8"/>
        <v>0</v>
      </c>
      <c r="F91" s="323">
        <f t="shared" si="8"/>
        <v>0</v>
      </c>
    </row>
    <row r="92" spans="1:9" ht="14.25" customHeight="1">
      <c r="A92" s="1199"/>
      <c r="B92" s="359" t="s">
        <v>190</v>
      </c>
      <c r="C92" s="328">
        <f t="shared" si="8"/>
        <v>0</v>
      </c>
      <c r="D92" s="329">
        <f t="shared" si="8"/>
        <v>0</v>
      </c>
      <c r="E92" s="328">
        <f t="shared" si="8"/>
        <v>0</v>
      </c>
      <c r="F92" s="328">
        <f t="shared" si="8"/>
        <v>0</v>
      </c>
    </row>
    <row r="93" spans="1:9" ht="14.25" customHeight="1">
      <c r="A93" s="1198" t="s">
        <v>100</v>
      </c>
      <c r="B93" s="356" t="s">
        <v>516</v>
      </c>
      <c r="C93" s="323">
        <f t="shared" si="8"/>
        <v>0</v>
      </c>
      <c r="D93" s="324">
        <f t="shared" si="8"/>
        <v>0</v>
      </c>
      <c r="E93" s="323">
        <f t="shared" si="8"/>
        <v>0</v>
      </c>
      <c r="F93" s="323">
        <f t="shared" si="8"/>
        <v>0</v>
      </c>
    </row>
    <row r="94" spans="1:9" ht="14.25" customHeight="1">
      <c r="A94" s="1199"/>
      <c r="B94" s="359" t="s">
        <v>190</v>
      </c>
      <c r="C94" s="328">
        <f t="shared" si="8"/>
        <v>0</v>
      </c>
      <c r="D94" s="329">
        <f t="shared" si="8"/>
        <v>0</v>
      </c>
      <c r="E94" s="328">
        <f t="shared" si="8"/>
        <v>0</v>
      </c>
      <c r="F94" s="328">
        <f t="shared" si="8"/>
        <v>0</v>
      </c>
    </row>
    <row r="95" spans="1:9" ht="14.25" customHeight="1">
      <c r="C95" s="364"/>
      <c r="D95" s="364"/>
      <c r="E95" s="364"/>
      <c r="F95" s="364"/>
    </row>
    <row r="96" spans="1:9" ht="14.25" customHeight="1">
      <c r="A96" s="133" t="s">
        <v>633</v>
      </c>
      <c r="B96" s="133"/>
      <c r="C96" s="311">
        <v>1</v>
      </c>
      <c r="D96" s="311">
        <v>2</v>
      </c>
      <c r="E96" s="311">
        <v>3</v>
      </c>
      <c r="F96" s="311">
        <v>4</v>
      </c>
    </row>
    <row r="97" spans="1:9" ht="8.25" customHeight="1">
      <c r="C97" s="317"/>
      <c r="D97" s="321"/>
      <c r="E97" s="317"/>
      <c r="F97" s="317"/>
    </row>
    <row r="98" spans="1:9" ht="14.25" customHeight="1">
      <c r="A98" s="835" t="s">
        <v>95</v>
      </c>
      <c r="B98" s="356" t="s">
        <v>352</v>
      </c>
      <c r="C98" s="313">
        <f>C86*C7</f>
        <v>0</v>
      </c>
      <c r="D98" s="313">
        <f>IFERROR(D86*D7,0)</f>
        <v>0</v>
      </c>
      <c r="E98" s="313">
        <f>IFERROR(E86*E7,0)</f>
        <v>0</v>
      </c>
      <c r="F98" s="313">
        <f>IFERROR(F86*F7,0)</f>
        <v>0</v>
      </c>
    </row>
    <row r="99" spans="1:9" ht="14.25" customHeight="1">
      <c r="A99" s="837" t="s">
        <v>98</v>
      </c>
      <c r="B99" s="365" t="s">
        <v>352</v>
      </c>
      <c r="C99" s="314">
        <f>C90*C10</f>
        <v>0</v>
      </c>
      <c r="D99" s="314">
        <f>IFERROR(D90*D10,0)</f>
        <v>0</v>
      </c>
      <c r="E99" s="314">
        <f>IFERROR(E90*E10,0)</f>
        <v>0</v>
      </c>
      <c r="F99" s="314">
        <f>IFERROR(F90*F10,0)</f>
        <v>0</v>
      </c>
    </row>
    <row r="100" spans="1:9" ht="14.25" customHeight="1">
      <c r="A100" s="837" t="s">
        <v>192</v>
      </c>
      <c r="B100" s="365" t="s">
        <v>352</v>
      </c>
      <c r="C100" s="314">
        <f>C92*C13</f>
        <v>0</v>
      </c>
      <c r="D100" s="314">
        <f>IFERROR(D92*D13,0)</f>
        <v>0</v>
      </c>
      <c r="E100" s="314">
        <f>IFERROR(E92*E13,0)</f>
        <v>0</v>
      </c>
      <c r="F100" s="314">
        <f>IFERROR(F92*F13,0)</f>
        <v>0</v>
      </c>
    </row>
    <row r="101" spans="1:9" ht="14.25" customHeight="1">
      <c r="A101" s="837" t="s">
        <v>100</v>
      </c>
      <c r="B101" s="365" t="s">
        <v>352</v>
      </c>
      <c r="C101" s="314">
        <f>IFERROR(C94*C16+C16*C87,0)</f>
        <v>0</v>
      </c>
      <c r="D101" s="314">
        <f>IFERROR(D94*D16+D16*D87,0)</f>
        <v>0</v>
      </c>
      <c r="E101" s="314">
        <f>IFERROR(E94*E16+E16*E87,0)</f>
        <v>0</v>
      </c>
      <c r="F101" s="314">
        <f>IFERROR(F94*F16+F16*F87,0)</f>
        <v>0</v>
      </c>
    </row>
    <row r="102" spans="1:9" ht="14.25" customHeight="1">
      <c r="A102" s="836" t="s">
        <v>50</v>
      </c>
      <c r="B102" s="359" t="s">
        <v>352</v>
      </c>
      <c r="C102" s="315">
        <f>C89*C19</f>
        <v>0</v>
      </c>
      <c r="D102" s="315">
        <f>IFERROR(D89*D19,0)</f>
        <v>0</v>
      </c>
      <c r="E102" s="315">
        <f>IFERROR(E89*E19,0)</f>
        <v>0</v>
      </c>
      <c r="F102" s="315">
        <f>IFERROR(F89*F19,0)</f>
        <v>0</v>
      </c>
    </row>
    <row r="103" spans="1:9" ht="14.25" customHeight="1">
      <c r="B103" s="6"/>
      <c r="C103" s="366"/>
      <c r="D103" s="366"/>
      <c r="E103" s="366"/>
      <c r="F103" s="366"/>
    </row>
    <row r="104" spans="1:9" ht="14.25" customHeight="1">
      <c r="A104" s="312" t="s">
        <v>632</v>
      </c>
      <c r="B104" s="367"/>
      <c r="C104" s="487">
        <v>1</v>
      </c>
      <c r="D104" s="487">
        <v>2</v>
      </c>
      <c r="E104" s="487">
        <v>3</v>
      </c>
      <c r="F104" s="487">
        <v>4</v>
      </c>
      <c r="I104" s="316"/>
    </row>
    <row r="105" spans="1:9" ht="8.25" customHeight="1">
      <c r="B105" s="6"/>
      <c r="C105" s="317"/>
      <c r="D105" s="317"/>
      <c r="E105" s="317"/>
      <c r="F105" s="317"/>
    </row>
    <row r="106" spans="1:9" ht="14.25" customHeight="1">
      <c r="A106" s="840" t="s">
        <v>222</v>
      </c>
      <c r="B106" s="368" t="s">
        <v>352</v>
      </c>
      <c r="C106" s="318">
        <f t="shared" ref="C106:F108" si="9">IF($A106=C$8,C$98,0)+IF($A106=C$11,C$99,0)+IF($A106=C$14,C$100,0)+IF($A106=C$17,C$101,0)+IF($A106=C$20,C$102,0)</f>
        <v>0</v>
      </c>
      <c r="D106" s="318">
        <f t="shared" si="9"/>
        <v>0</v>
      </c>
      <c r="E106" s="318">
        <f t="shared" si="9"/>
        <v>0</v>
      </c>
      <c r="F106" s="318">
        <f t="shared" si="9"/>
        <v>0</v>
      </c>
    </row>
    <row r="107" spans="1:9" ht="14.25" customHeight="1">
      <c r="A107" s="841" t="s">
        <v>228</v>
      </c>
      <c r="B107" s="369" t="s">
        <v>352</v>
      </c>
      <c r="C107" s="319">
        <f t="shared" si="9"/>
        <v>0</v>
      </c>
      <c r="D107" s="319">
        <f t="shared" si="9"/>
        <v>0</v>
      </c>
      <c r="E107" s="319">
        <f t="shared" si="9"/>
        <v>0</v>
      </c>
      <c r="F107" s="319">
        <f t="shared" si="9"/>
        <v>0</v>
      </c>
    </row>
    <row r="108" spans="1:9" ht="14.25" customHeight="1">
      <c r="A108" s="842" t="s">
        <v>232</v>
      </c>
      <c r="B108" s="370" t="s">
        <v>352</v>
      </c>
      <c r="C108" s="320">
        <f t="shared" si="9"/>
        <v>0</v>
      </c>
      <c r="D108" s="320">
        <f t="shared" si="9"/>
        <v>0</v>
      </c>
      <c r="E108" s="320">
        <f t="shared" si="9"/>
        <v>0</v>
      </c>
      <c r="F108" s="320">
        <f t="shared" si="9"/>
        <v>0</v>
      </c>
    </row>
    <row r="110" spans="1:9" ht="14.25" customHeight="1">
      <c r="A110" s="1200" t="s">
        <v>605</v>
      </c>
      <c r="B110" s="1200"/>
      <c r="C110" s="1200"/>
      <c r="D110" s="271"/>
      <c r="E110" s="271"/>
      <c r="F110" s="271"/>
      <c r="G110" s="271"/>
      <c r="H110" s="271"/>
      <c r="I110" s="271"/>
    </row>
    <row r="111" spans="1:9" ht="8.25" customHeight="1"/>
    <row r="112" spans="1:9" ht="14.25" customHeight="1">
      <c r="B112" s="6"/>
      <c r="C112" s="308">
        <f>IF(Tunneldaten!E$35="","",Tunneldaten!E35)</f>
        <v>1</v>
      </c>
      <c r="D112" s="308" t="str">
        <f>IF(Tunneldaten!F$35="","",Tunneldaten!F35)</f>
        <v/>
      </c>
      <c r="E112" s="308" t="str">
        <f>IF(Tunneldaten!G$35="","",Tunneldaten!G35)</f>
        <v/>
      </c>
      <c r="F112" s="308" t="str">
        <f>IF(Tunneldaten!H$35="","",Tunneldaten!H35)</f>
        <v/>
      </c>
    </row>
    <row r="113" spans="1:10" ht="8.25" customHeight="1">
      <c r="C113" s="340"/>
      <c r="D113" s="340"/>
      <c r="E113" s="340"/>
      <c r="F113" s="340"/>
    </row>
    <row r="114" spans="1:10" ht="14.25" customHeight="1">
      <c r="A114" s="844" t="s">
        <v>606</v>
      </c>
      <c r="B114" s="305"/>
      <c r="C114" s="348"/>
      <c r="D114" s="343"/>
      <c r="E114" s="343"/>
      <c r="F114" s="343"/>
      <c r="J114" s="270"/>
    </row>
    <row r="115" spans="1:10" ht="14.25" customHeight="1">
      <c r="A115" s="845" t="s">
        <v>106</v>
      </c>
      <c r="B115" s="344" t="s">
        <v>54</v>
      </c>
      <c r="C115" s="345">
        <f>IF(Tunneldaten!E$35="","",Tunneldaten!E57)</f>
        <v>0</v>
      </c>
      <c r="D115" s="345" t="str">
        <f>IF(Tunneldaten!F$35="","",Tunneldaten!F57)</f>
        <v/>
      </c>
      <c r="E115" s="345" t="str">
        <f>IF(Tunneldaten!G$35="","",Tunneldaten!G57)</f>
        <v/>
      </c>
      <c r="F115" s="345" t="str">
        <f>IF(Tunneldaten!H$35="","",Tunneldaten!H57)</f>
        <v/>
      </c>
      <c r="J115" s="270"/>
    </row>
    <row r="116" spans="1:10" ht="14.25" customHeight="1">
      <c r="A116" s="845" t="s">
        <v>107</v>
      </c>
      <c r="B116" s="344" t="s">
        <v>54</v>
      </c>
      <c r="C116" s="345">
        <f>IF(Tunneldaten!E$35="","",Tunneldaten!E58)</f>
        <v>0</v>
      </c>
      <c r="D116" s="345" t="str">
        <f>IF(Tunneldaten!F$35="","",Tunneldaten!F58)</f>
        <v/>
      </c>
      <c r="E116" s="345" t="str">
        <f>IF(Tunneldaten!G$35="","",Tunneldaten!G58)</f>
        <v/>
      </c>
      <c r="F116" s="345" t="str">
        <f>IF(Tunneldaten!H$35="","",Tunneldaten!H58)</f>
        <v/>
      </c>
      <c r="J116" s="270"/>
    </row>
    <row r="117" spans="1:10" ht="14.25" customHeight="1">
      <c r="A117" s="846" t="s">
        <v>108</v>
      </c>
      <c r="B117" s="346" t="s">
        <v>54</v>
      </c>
      <c r="C117" s="347">
        <f>IF(Tunneldaten!E$35="","",Tunneldaten!E59)</f>
        <v>0</v>
      </c>
      <c r="D117" s="347" t="str">
        <f>IF(Tunneldaten!F$35="","",Tunneldaten!F59)</f>
        <v/>
      </c>
      <c r="E117" s="347" t="str">
        <f>IF(Tunneldaten!G$35="","",Tunneldaten!G59)</f>
        <v/>
      </c>
      <c r="F117" s="347" t="str">
        <f>IF(Tunneldaten!H$35="","",Tunneldaten!H59)</f>
        <v/>
      </c>
      <c r="J117" s="270"/>
    </row>
    <row r="118" spans="1:10" ht="14.25" customHeight="1">
      <c r="A118" s="844" t="s">
        <v>109</v>
      </c>
      <c r="B118" s="305"/>
      <c r="C118" s="348"/>
      <c r="D118" s="348"/>
      <c r="E118" s="348"/>
      <c r="F118" s="348"/>
      <c r="J118" s="270"/>
    </row>
    <row r="119" spans="1:10" ht="14.25" customHeight="1">
      <c r="A119" s="845" t="s">
        <v>108</v>
      </c>
      <c r="B119" s="344" t="s">
        <v>54</v>
      </c>
      <c r="C119" s="345">
        <f>IF(Tunneldaten!E$35="","",Tunneldaten!E61)</f>
        <v>0</v>
      </c>
      <c r="D119" s="345" t="str">
        <f>IF(Tunneldaten!F$35="","",Tunneldaten!F61)</f>
        <v/>
      </c>
      <c r="E119" s="345" t="str">
        <f>IF(Tunneldaten!G$35="","",Tunneldaten!G61)</f>
        <v/>
      </c>
      <c r="F119" s="345" t="str">
        <f>IF(Tunneldaten!H$35="","",Tunneldaten!H61)</f>
        <v/>
      </c>
      <c r="J119" s="270"/>
    </row>
    <row r="120" spans="1:10" ht="14.25" customHeight="1">
      <c r="A120" s="845" t="s">
        <v>110</v>
      </c>
      <c r="B120" s="344" t="s">
        <v>54</v>
      </c>
      <c r="C120" s="345">
        <f>IF(Tunneldaten!E$35="","",Tunneldaten!E62)</f>
        <v>0</v>
      </c>
      <c r="D120" s="345" t="str">
        <f>IF(Tunneldaten!F$35="","",Tunneldaten!F62)</f>
        <v/>
      </c>
      <c r="E120" s="345" t="str">
        <f>IF(Tunneldaten!G$35="","",Tunneldaten!G62)</f>
        <v/>
      </c>
      <c r="F120" s="345" t="str">
        <f>IF(Tunneldaten!H$35="","",Tunneldaten!H62)</f>
        <v/>
      </c>
      <c r="J120" s="270"/>
    </row>
    <row r="121" spans="1:10" ht="14.25" customHeight="1">
      <c r="A121" s="846" t="s">
        <v>111</v>
      </c>
      <c r="B121" s="346" t="s">
        <v>54</v>
      </c>
      <c r="C121" s="347">
        <f>IF(Tunneldaten!E$35="","",Tunneldaten!E63)</f>
        <v>0</v>
      </c>
      <c r="D121" s="347" t="str">
        <f>IF(Tunneldaten!F$35="","",Tunneldaten!F63)</f>
        <v/>
      </c>
      <c r="E121" s="347" t="str">
        <f>IF(Tunneldaten!G$35="","",Tunneldaten!G63)</f>
        <v/>
      </c>
      <c r="F121" s="347" t="str">
        <f>IF(Tunneldaten!H$35="","",Tunneldaten!H63)</f>
        <v/>
      </c>
      <c r="J121" s="270"/>
    </row>
    <row r="122" spans="1:10" ht="14.25" customHeight="1">
      <c r="B122" s="6"/>
      <c r="J122" s="270"/>
    </row>
    <row r="123" spans="1:10" ht="14.25" customHeight="1">
      <c r="A123" s="133" t="s">
        <v>603</v>
      </c>
      <c r="B123" s="133"/>
      <c r="C123" s="311">
        <v>1</v>
      </c>
      <c r="D123" s="311">
        <v>2</v>
      </c>
      <c r="E123" s="311">
        <v>3</v>
      </c>
      <c r="F123" s="311">
        <v>4</v>
      </c>
      <c r="J123" s="270"/>
    </row>
    <row r="124" spans="1:10" ht="8.25" customHeight="1">
      <c r="C124" s="317"/>
      <c r="D124" s="321"/>
      <c r="E124" s="317"/>
      <c r="F124" s="317"/>
    </row>
    <row r="125" spans="1:10" ht="14.25" customHeight="1">
      <c r="A125" s="1198" t="s">
        <v>189</v>
      </c>
      <c r="B125" s="356" t="s">
        <v>516</v>
      </c>
      <c r="C125" s="323">
        <f t="shared" ref="C125:F126" si="10">C80</f>
        <v>0</v>
      </c>
      <c r="D125" s="323">
        <f t="shared" si="10"/>
        <v>0</v>
      </c>
      <c r="E125" s="323">
        <f t="shared" si="10"/>
        <v>0</v>
      </c>
      <c r="F125" s="323">
        <f t="shared" si="10"/>
        <v>0</v>
      </c>
      <c r="J125" s="270"/>
    </row>
    <row r="126" spans="1:10" ht="14.25" customHeight="1">
      <c r="A126" s="1199"/>
      <c r="B126" s="359" t="s">
        <v>190</v>
      </c>
      <c r="C126" s="328">
        <f t="shared" si="10"/>
        <v>0</v>
      </c>
      <c r="D126" s="328">
        <f t="shared" si="10"/>
        <v>0</v>
      </c>
      <c r="E126" s="328">
        <f t="shared" si="10"/>
        <v>0</v>
      </c>
      <c r="F126" s="328">
        <f t="shared" si="10"/>
        <v>0</v>
      </c>
      <c r="J126" s="270"/>
    </row>
    <row r="127" spans="1:10" ht="14.25" customHeight="1">
      <c r="A127" s="835" t="s">
        <v>607</v>
      </c>
      <c r="B127" s="356" t="s">
        <v>190</v>
      </c>
      <c r="C127" s="374">
        <f>IFERROR(C126*SUM(C115:C117)/100,0)</f>
        <v>0</v>
      </c>
      <c r="D127" s="374">
        <f>D126*SUM(D115:D117)/100</f>
        <v>0</v>
      </c>
      <c r="E127" s="374">
        <f>E126*SUM(E115:E117)/100</f>
        <v>0</v>
      </c>
      <c r="F127" s="374">
        <f>F126*SUM(F115:F117)/100</f>
        <v>0</v>
      </c>
      <c r="J127" s="270"/>
    </row>
    <row r="128" spans="1:10" ht="14.25" customHeight="1">
      <c r="A128" s="848" t="s">
        <v>608</v>
      </c>
      <c r="B128" s="359" t="s">
        <v>190</v>
      </c>
      <c r="C128" s="373">
        <f>IFERROR(C126*C116/100,0)</f>
        <v>0</v>
      </c>
      <c r="D128" s="373">
        <f t="shared" ref="D128:F128" si="11">IFERROR(D126*D116/100,0)</f>
        <v>0</v>
      </c>
      <c r="E128" s="373">
        <f t="shared" si="11"/>
        <v>0</v>
      </c>
      <c r="F128" s="373">
        <f t="shared" si="11"/>
        <v>0</v>
      </c>
      <c r="J128" s="270"/>
    </row>
    <row r="129" spans="1:10" ht="14.25" customHeight="1">
      <c r="A129" s="835" t="s">
        <v>109</v>
      </c>
      <c r="B129" s="356"/>
      <c r="C129" s="371"/>
      <c r="D129" s="371"/>
      <c r="E129" s="371"/>
      <c r="F129" s="371"/>
      <c r="J129" s="270"/>
    </row>
    <row r="130" spans="1:10" ht="14.25" customHeight="1">
      <c r="A130" s="849" t="s">
        <v>108</v>
      </c>
      <c r="B130" s="365" t="s">
        <v>190</v>
      </c>
      <c r="C130" s="372">
        <f t="shared" ref="C130:F132" si="12">IFERROR(C$126*C119/100,0)</f>
        <v>0</v>
      </c>
      <c r="D130" s="372">
        <f t="shared" si="12"/>
        <v>0</v>
      </c>
      <c r="E130" s="372">
        <f t="shared" si="12"/>
        <v>0</v>
      </c>
      <c r="F130" s="372">
        <f t="shared" si="12"/>
        <v>0</v>
      </c>
      <c r="J130" s="270"/>
    </row>
    <row r="131" spans="1:10" ht="14.25" customHeight="1">
      <c r="A131" s="849" t="s">
        <v>110</v>
      </c>
      <c r="B131" s="365" t="s">
        <v>190</v>
      </c>
      <c r="C131" s="372">
        <f t="shared" si="12"/>
        <v>0</v>
      </c>
      <c r="D131" s="372">
        <f t="shared" si="12"/>
        <v>0</v>
      </c>
      <c r="E131" s="372">
        <f t="shared" si="12"/>
        <v>0</v>
      </c>
      <c r="F131" s="372">
        <f t="shared" si="12"/>
        <v>0</v>
      </c>
      <c r="J131" s="270"/>
    </row>
    <row r="132" spans="1:10" ht="14.25" customHeight="1">
      <c r="A132" s="848" t="s">
        <v>111</v>
      </c>
      <c r="B132" s="359" t="s">
        <v>190</v>
      </c>
      <c r="C132" s="373">
        <f t="shared" si="12"/>
        <v>0</v>
      </c>
      <c r="D132" s="373">
        <f t="shared" si="12"/>
        <v>0</v>
      </c>
      <c r="E132" s="373">
        <f t="shared" si="12"/>
        <v>0</v>
      </c>
      <c r="F132" s="373">
        <f t="shared" si="12"/>
        <v>0</v>
      </c>
      <c r="J132" s="270"/>
    </row>
    <row r="133" spans="1:10" ht="14.25" customHeight="1">
      <c r="J133" s="270"/>
    </row>
    <row r="134" spans="1:10" ht="14.25" customHeight="1">
      <c r="A134" s="133" t="s">
        <v>609</v>
      </c>
      <c r="B134" s="133"/>
      <c r="C134" s="311">
        <v>1</v>
      </c>
      <c r="D134" s="311">
        <v>2</v>
      </c>
      <c r="E134" s="311">
        <v>3</v>
      </c>
      <c r="F134" s="311">
        <v>4</v>
      </c>
      <c r="J134" s="270"/>
    </row>
    <row r="135" spans="1:10" ht="8.25" customHeight="1">
      <c r="C135" s="317"/>
      <c r="D135" s="321"/>
      <c r="E135" s="317"/>
      <c r="F135" s="317"/>
    </row>
    <row r="136" spans="1:10" ht="14.25" customHeight="1">
      <c r="A136" s="835" t="s">
        <v>114</v>
      </c>
      <c r="B136" s="356" t="s">
        <v>352</v>
      </c>
      <c r="C136" s="374">
        <f>IFERROR(C130*C28,0)</f>
        <v>0</v>
      </c>
      <c r="D136" s="374">
        <f>IFERROR(D130*D28,0)</f>
        <v>0</v>
      </c>
      <c r="E136" s="374">
        <f>IFERROR(E130*E28,0)</f>
        <v>0</v>
      </c>
      <c r="F136" s="374">
        <f>IFERROR(F130*F28,0)</f>
        <v>0</v>
      </c>
      <c r="J136" s="270"/>
    </row>
    <row r="137" spans="1:10" ht="14.25" customHeight="1">
      <c r="A137" s="837" t="s">
        <v>115</v>
      </c>
      <c r="B137" s="365" t="s">
        <v>352</v>
      </c>
      <c r="C137" s="372">
        <f>IFERROR(C131*C31,0)</f>
        <v>0</v>
      </c>
      <c r="D137" s="372">
        <f>IFERROR(D131*D31,0)</f>
        <v>0</v>
      </c>
      <c r="E137" s="372">
        <f>IFERROR(E131*E31,0)</f>
        <v>0</v>
      </c>
      <c r="F137" s="372">
        <f>IFERROR(F131*F31,0)</f>
        <v>0</v>
      </c>
      <c r="J137" s="270"/>
    </row>
    <row r="138" spans="1:10" ht="14.25" customHeight="1">
      <c r="A138" s="836" t="s">
        <v>116</v>
      </c>
      <c r="B138" s="359" t="s">
        <v>352</v>
      </c>
      <c r="C138" s="373">
        <f>IFERROR(C132*C34,0)</f>
        <v>0</v>
      </c>
      <c r="D138" s="373">
        <f>IFERROR(D132*D34,0)</f>
        <v>0</v>
      </c>
      <c r="E138" s="373">
        <f>IFERROR(E132*E34,0)</f>
        <v>0</v>
      </c>
      <c r="F138" s="373">
        <f>IFERROR(F132*F34,0)</f>
        <v>0</v>
      </c>
      <c r="J138" s="270"/>
    </row>
    <row r="139" spans="1:10" ht="14.25" customHeight="1">
      <c r="J139" s="270"/>
    </row>
    <row r="140" spans="1:10" ht="14.25" customHeight="1">
      <c r="A140" s="312" t="s">
        <v>610</v>
      </c>
      <c r="B140" s="367"/>
      <c r="C140" s="487">
        <v>1</v>
      </c>
      <c r="D140" s="487">
        <v>2</v>
      </c>
      <c r="E140" s="487">
        <v>3</v>
      </c>
      <c r="F140" s="487">
        <v>4</v>
      </c>
      <c r="J140" s="270"/>
    </row>
    <row r="141" spans="1:10" ht="8.25" customHeight="1">
      <c r="C141" s="317"/>
      <c r="D141" s="321"/>
      <c r="E141" s="317"/>
      <c r="F141" s="317"/>
    </row>
    <row r="142" spans="1:10" ht="14.25" customHeight="1">
      <c r="A142" s="840" t="s">
        <v>222</v>
      </c>
      <c r="B142" s="368" t="s">
        <v>352</v>
      </c>
      <c r="C142" s="318">
        <f t="shared" ref="C142:F144" si="13">IF($A142=C$29,C$136,0)+IF($A142=C$32,C$137,0)+IF($A142=C$35,C$138,0)</f>
        <v>0</v>
      </c>
      <c r="D142" s="318">
        <f t="shared" si="13"/>
        <v>0</v>
      </c>
      <c r="E142" s="318">
        <f t="shared" si="13"/>
        <v>0</v>
      </c>
      <c r="F142" s="318">
        <f t="shared" si="13"/>
        <v>0</v>
      </c>
      <c r="J142" s="270"/>
    </row>
    <row r="143" spans="1:10" ht="14.25" customHeight="1">
      <c r="A143" s="841" t="s">
        <v>228</v>
      </c>
      <c r="B143" s="369" t="s">
        <v>352</v>
      </c>
      <c r="C143" s="319">
        <f t="shared" si="13"/>
        <v>0</v>
      </c>
      <c r="D143" s="319">
        <f t="shared" si="13"/>
        <v>0</v>
      </c>
      <c r="E143" s="319">
        <f t="shared" si="13"/>
        <v>0</v>
      </c>
      <c r="F143" s="319">
        <f t="shared" si="13"/>
        <v>0</v>
      </c>
      <c r="J143" s="270"/>
    </row>
    <row r="144" spans="1:10" ht="14.25" customHeight="1">
      <c r="A144" s="842" t="s">
        <v>232</v>
      </c>
      <c r="B144" s="370" t="s">
        <v>352</v>
      </c>
      <c r="C144" s="320">
        <f t="shared" si="13"/>
        <v>0</v>
      </c>
      <c r="D144" s="320">
        <f t="shared" si="13"/>
        <v>0</v>
      </c>
      <c r="E144" s="320">
        <f t="shared" si="13"/>
        <v>0</v>
      </c>
      <c r="F144" s="320">
        <f t="shared" si="13"/>
        <v>0</v>
      </c>
      <c r="J144" s="270"/>
    </row>
    <row r="145" spans="10:10" ht="14.25" customHeight="1">
      <c r="J145" s="270"/>
    </row>
    <row r="146" spans="10:10" ht="14.25" customHeight="1">
      <c r="J146" s="270"/>
    </row>
    <row r="147" spans="10:10" ht="14.25" customHeight="1">
      <c r="J147" s="270"/>
    </row>
    <row r="148" spans="10:10" ht="14.25" customHeight="1">
      <c r="J148" s="270"/>
    </row>
    <row r="149" spans="10:10" ht="14.25" customHeight="1">
      <c r="J149" s="270"/>
    </row>
    <row r="150" spans="10:10" ht="14.25" customHeight="1">
      <c r="J150" s="270"/>
    </row>
    <row r="151" spans="10:10" ht="14.25" customHeight="1">
      <c r="J151" s="270"/>
    </row>
    <row r="152" spans="10:10" ht="14.25" customHeight="1">
      <c r="J152" s="270"/>
    </row>
    <row r="153" spans="10:10" ht="14.25" customHeight="1">
      <c r="J153" s="270"/>
    </row>
    <row r="154" spans="10:10" ht="14.25" customHeight="1">
      <c r="J154" s="270"/>
    </row>
    <row r="155" spans="10:10" ht="14.25" customHeight="1">
      <c r="J155" s="270"/>
    </row>
    <row r="156" spans="10:10" ht="14.25" customHeight="1">
      <c r="J156" s="270"/>
    </row>
    <row r="157" spans="10:10" ht="14.25" customHeight="1">
      <c r="J157" s="270"/>
    </row>
    <row r="158" spans="10:10" ht="14.25" customHeight="1">
      <c r="J158" s="270"/>
    </row>
    <row r="159" spans="10:10" ht="14.25" customHeight="1">
      <c r="J159" s="270"/>
    </row>
    <row r="160" spans="10:10" ht="14.25" customHeight="1">
      <c r="J160" s="270"/>
    </row>
    <row r="161" spans="10:10" ht="14.25" customHeight="1">
      <c r="J161" s="270"/>
    </row>
    <row r="162" spans="10:10" ht="14.25" customHeight="1">
      <c r="J162" s="270"/>
    </row>
    <row r="163" spans="10:10" ht="14.25" customHeight="1">
      <c r="J163" s="270"/>
    </row>
    <row r="164" spans="10:10" ht="14.25" customHeight="1">
      <c r="J164" s="270"/>
    </row>
    <row r="165" spans="10:10" ht="14.25" customHeight="1">
      <c r="J165" s="270"/>
    </row>
    <row r="166" spans="10:10" ht="14.25" customHeight="1">
      <c r="J166" s="270"/>
    </row>
    <row r="167" spans="10:10" ht="14.25" customHeight="1">
      <c r="J167" s="270"/>
    </row>
    <row r="168" spans="10:10" ht="14.25" customHeight="1">
      <c r="J168" s="270"/>
    </row>
    <row r="169" spans="10:10" ht="14.25" customHeight="1">
      <c r="J169" s="270"/>
    </row>
    <row r="170" spans="10:10" ht="14.25" customHeight="1">
      <c r="J170" s="270"/>
    </row>
    <row r="171" spans="10:10" ht="14.25" customHeight="1">
      <c r="J171" s="270"/>
    </row>
    <row r="172" spans="10:10" ht="14.25" customHeight="1">
      <c r="J172" s="270"/>
    </row>
    <row r="173" spans="10:10" ht="14.25" customHeight="1">
      <c r="J173" s="270"/>
    </row>
    <row r="174" spans="10:10" ht="14.25" customHeight="1">
      <c r="J174" s="270"/>
    </row>
    <row r="175" spans="10:10" ht="14.25" customHeight="1">
      <c r="J175" s="270"/>
    </row>
    <row r="176" spans="10:10" ht="14.25" customHeight="1">
      <c r="J176" s="270"/>
    </row>
    <row r="177" spans="10:10" ht="14.25" customHeight="1">
      <c r="J177" s="270"/>
    </row>
    <row r="178" spans="10:10" ht="14.25" customHeight="1">
      <c r="J178" s="270"/>
    </row>
    <row r="179" spans="10:10" ht="14.25" customHeight="1">
      <c r="J179" s="270"/>
    </row>
    <row r="180" spans="10:10" ht="14.25" customHeight="1">
      <c r="J180" s="270"/>
    </row>
    <row r="181" spans="10:10" ht="14.25" customHeight="1">
      <c r="J181" s="270"/>
    </row>
    <row r="182" spans="10:10" ht="14.25" customHeight="1">
      <c r="J182" s="270"/>
    </row>
    <row r="183" spans="10:10" ht="14.25" customHeight="1">
      <c r="J183" s="270"/>
    </row>
    <row r="184" spans="10:10" ht="14.25" customHeight="1">
      <c r="J184" s="270"/>
    </row>
    <row r="185" spans="10:10" ht="14.25" customHeight="1">
      <c r="J185" s="270"/>
    </row>
    <row r="186" spans="10:10" ht="14.25" customHeight="1">
      <c r="J186" s="270"/>
    </row>
    <row r="187" spans="10:10" ht="14.25" customHeight="1">
      <c r="J187" s="270"/>
    </row>
    <row r="188" spans="10:10" ht="14.25" customHeight="1">
      <c r="J188" s="270"/>
    </row>
    <row r="189" spans="10:10" ht="14.25" customHeight="1">
      <c r="J189" s="270"/>
    </row>
    <row r="190" spans="10:10" ht="14.25" customHeight="1">
      <c r="J190" s="270"/>
    </row>
    <row r="191" spans="10:10" ht="14.25" customHeight="1">
      <c r="J191" s="270"/>
    </row>
    <row r="192" spans="10:10" ht="14.25" customHeight="1">
      <c r="J192" s="270"/>
    </row>
    <row r="193" spans="10:10" ht="14.25" customHeight="1">
      <c r="J193" s="270"/>
    </row>
    <row r="194" spans="10:10" ht="14.25" customHeight="1">
      <c r="J194" s="270"/>
    </row>
    <row r="195" spans="10:10" ht="14.25" customHeight="1">
      <c r="J195" s="270"/>
    </row>
    <row r="196" spans="10:10" ht="14.25" customHeight="1">
      <c r="J196" s="270"/>
    </row>
    <row r="197" spans="10:10" ht="14.25" customHeight="1">
      <c r="J197" s="270"/>
    </row>
    <row r="198" spans="10:10" ht="14.25" customHeight="1">
      <c r="J198" s="270"/>
    </row>
    <row r="199" spans="10:10" ht="14.25" customHeight="1">
      <c r="J199" s="270"/>
    </row>
    <row r="200" spans="10:10" ht="14.25" customHeight="1">
      <c r="J200" s="270"/>
    </row>
    <row r="201" spans="10:10" ht="14.25" customHeight="1">
      <c r="J201" s="270"/>
    </row>
    <row r="202" spans="10:10" ht="14.25" customHeight="1">
      <c r="J202" s="270"/>
    </row>
    <row r="203" spans="10:10" ht="14.25" customHeight="1">
      <c r="J203" s="270"/>
    </row>
    <row r="204" spans="10:10" ht="14.25" customHeight="1">
      <c r="J204" s="270"/>
    </row>
    <row r="205" spans="10:10" ht="14.25" customHeight="1">
      <c r="J205" s="270"/>
    </row>
    <row r="206" spans="10:10" ht="14.25" customHeight="1">
      <c r="J206" s="270"/>
    </row>
    <row r="207" spans="10:10" ht="14.25" customHeight="1">
      <c r="J207" s="270"/>
    </row>
    <row r="208" spans="10:10" ht="14.25" customHeight="1">
      <c r="J208" s="270"/>
    </row>
    <row r="209" spans="10:10" ht="14.25" customHeight="1">
      <c r="J209" s="270"/>
    </row>
    <row r="210" spans="10:10" ht="14.25" customHeight="1">
      <c r="J210" s="270"/>
    </row>
    <row r="211" spans="10:10" ht="14.25" customHeight="1">
      <c r="J211" s="270"/>
    </row>
    <row r="212" spans="10:10" ht="14.25" customHeight="1">
      <c r="J212" s="270"/>
    </row>
    <row r="213" spans="10:10" ht="14.25" customHeight="1">
      <c r="J213" s="270"/>
    </row>
    <row r="214" spans="10:10" ht="14.25" customHeight="1">
      <c r="J214" s="270"/>
    </row>
    <row r="215" spans="10:10" ht="14.25" customHeight="1">
      <c r="J215" s="270"/>
    </row>
    <row r="216" spans="10:10" ht="14.25" customHeight="1">
      <c r="J216" s="270"/>
    </row>
    <row r="217" spans="10:10" ht="14.25" customHeight="1">
      <c r="J217" s="270"/>
    </row>
    <row r="218" spans="10:10" ht="14.25" customHeight="1">
      <c r="J218" s="270"/>
    </row>
    <row r="219" spans="10:10" ht="14.25" customHeight="1">
      <c r="J219" s="270"/>
    </row>
    <row r="220" spans="10:10" ht="14.25" customHeight="1">
      <c r="J220" s="270"/>
    </row>
    <row r="221" spans="10:10" ht="14.25" customHeight="1">
      <c r="J221" s="270"/>
    </row>
    <row r="222" spans="10:10" ht="14.25" customHeight="1">
      <c r="J222" s="270"/>
    </row>
    <row r="223" spans="10:10" ht="14.25" customHeight="1">
      <c r="J223" s="270"/>
    </row>
    <row r="224" spans="10:10" ht="14.25" customHeight="1">
      <c r="J224" s="270"/>
    </row>
    <row r="225" spans="10:10" ht="14.25" customHeight="1">
      <c r="J225" s="270"/>
    </row>
    <row r="226" spans="10:10" ht="14.25" customHeight="1">
      <c r="J226" s="270"/>
    </row>
    <row r="227" spans="10:10" ht="14.25" customHeight="1">
      <c r="J227" s="270"/>
    </row>
    <row r="228" spans="10:10" ht="14.25" customHeight="1">
      <c r="J228" s="270"/>
    </row>
    <row r="229" spans="10:10" ht="14.25" customHeight="1">
      <c r="J229" s="270"/>
    </row>
    <row r="230" spans="10:10" ht="14.25" customHeight="1">
      <c r="J230" s="270"/>
    </row>
    <row r="231" spans="10:10" ht="14.25" customHeight="1">
      <c r="J231" s="270"/>
    </row>
    <row r="232" spans="10:10" ht="14.25" customHeight="1">
      <c r="J232" s="270"/>
    </row>
    <row r="233" spans="10:10" ht="14.25" customHeight="1">
      <c r="J233" s="270"/>
    </row>
    <row r="234" spans="10:10" ht="14.25" customHeight="1">
      <c r="J234" s="270"/>
    </row>
    <row r="235" spans="10:10" ht="14.25" customHeight="1">
      <c r="J235" s="270"/>
    </row>
    <row r="236" spans="10:10" ht="14.25" customHeight="1">
      <c r="J236" s="270"/>
    </row>
    <row r="237" spans="10:10" ht="14.25" customHeight="1">
      <c r="J237" s="270"/>
    </row>
    <row r="238" spans="10:10" ht="14.25" customHeight="1">
      <c r="J238" s="270"/>
    </row>
    <row r="239" spans="10:10" ht="14.25" customHeight="1">
      <c r="J239" s="270"/>
    </row>
    <row r="240" spans="10:10" ht="14.25" customHeight="1">
      <c r="J240" s="270"/>
    </row>
    <row r="241" spans="10:10" ht="14.25" customHeight="1">
      <c r="J241" s="270"/>
    </row>
    <row r="242" spans="10:10" ht="14.25" customHeight="1">
      <c r="J242" s="270"/>
    </row>
    <row r="243" spans="10:10" ht="14.25" customHeight="1">
      <c r="J243" s="270"/>
    </row>
    <row r="244" spans="10:10" ht="14.25" customHeight="1">
      <c r="J244" s="270"/>
    </row>
    <row r="245" spans="10:10" ht="14.25" customHeight="1">
      <c r="J245" s="270"/>
    </row>
    <row r="246" spans="10:10" ht="14.25" customHeight="1">
      <c r="J246" s="270"/>
    </row>
    <row r="247" spans="10:10" ht="14.25" customHeight="1">
      <c r="J247" s="270"/>
    </row>
    <row r="248" spans="10:10" ht="14.25" customHeight="1">
      <c r="J248" s="270"/>
    </row>
    <row r="249" spans="10:10" ht="14.25" customHeight="1">
      <c r="J249" s="270"/>
    </row>
    <row r="250" spans="10:10" ht="14.25" customHeight="1">
      <c r="J250" s="270"/>
    </row>
    <row r="251" spans="10:10" ht="14.25" customHeight="1">
      <c r="J251" s="270"/>
    </row>
    <row r="252" spans="10:10" ht="14.25" customHeight="1">
      <c r="J252" s="270"/>
    </row>
    <row r="253" spans="10:10" ht="14.25" customHeight="1">
      <c r="J253" s="270"/>
    </row>
    <row r="254" spans="10:10" ht="14.25" customHeight="1">
      <c r="J254" s="270"/>
    </row>
    <row r="255" spans="10:10" ht="14.25" customHeight="1">
      <c r="J255" s="270"/>
    </row>
    <row r="256" spans="10:10" ht="14.25" customHeight="1">
      <c r="J256" s="270"/>
    </row>
    <row r="257" spans="10:10" ht="14.25" customHeight="1">
      <c r="J257" s="270"/>
    </row>
    <row r="258" spans="10:10" ht="14.25" customHeight="1">
      <c r="J258" s="270"/>
    </row>
    <row r="259" spans="10:10" ht="14.25" customHeight="1">
      <c r="J259" s="270"/>
    </row>
    <row r="260" spans="10:10" ht="14.25" customHeight="1">
      <c r="J260" s="270"/>
    </row>
    <row r="261" spans="10:10" ht="14.25" customHeight="1">
      <c r="J261" s="270"/>
    </row>
    <row r="262" spans="10:10" ht="14.25" customHeight="1">
      <c r="J262" s="270"/>
    </row>
    <row r="263" spans="10:10" ht="14.25" customHeight="1">
      <c r="J263" s="270"/>
    </row>
    <row r="264" spans="10:10" ht="14.25" customHeight="1">
      <c r="J264" s="270"/>
    </row>
    <row r="265" spans="10:10" ht="14.25" customHeight="1">
      <c r="J265" s="270"/>
    </row>
    <row r="266" spans="10:10" ht="14.25" customHeight="1">
      <c r="J266" s="270"/>
    </row>
    <row r="267" spans="10:10" ht="14.25" customHeight="1">
      <c r="J267" s="270"/>
    </row>
    <row r="268" spans="10:10" ht="14.25" customHeight="1">
      <c r="J268" s="270"/>
    </row>
    <row r="269" spans="10:10" ht="14.25" customHeight="1">
      <c r="J269" s="270"/>
    </row>
    <row r="270" spans="10:10" ht="14.25" customHeight="1">
      <c r="J270" s="270"/>
    </row>
    <row r="271" spans="10:10" ht="14.25" customHeight="1">
      <c r="J271" s="270"/>
    </row>
    <row r="272" spans="10:10" ht="14.25" customHeight="1">
      <c r="J272" s="270"/>
    </row>
    <row r="273" spans="10:10" ht="14.25" customHeight="1">
      <c r="J273" s="270"/>
    </row>
    <row r="274" spans="10:10" ht="14.25" customHeight="1">
      <c r="J274" s="270"/>
    </row>
    <row r="275" spans="10:10" ht="14.25" customHeight="1">
      <c r="J275" s="270"/>
    </row>
    <row r="276" spans="10:10" ht="14.25" customHeight="1">
      <c r="J276" s="270"/>
    </row>
    <row r="277" spans="10:10" ht="14.25" customHeight="1">
      <c r="J277" s="270"/>
    </row>
    <row r="278" spans="10:10" ht="14.25" customHeight="1">
      <c r="J278" s="270"/>
    </row>
    <row r="279" spans="10:10" ht="14.25" customHeight="1">
      <c r="J279" s="270"/>
    </row>
    <row r="280" spans="10:10" ht="14.25" customHeight="1">
      <c r="J280" s="270"/>
    </row>
    <row r="281" spans="10:10" ht="14.25" customHeight="1">
      <c r="J281" s="270"/>
    </row>
    <row r="282" spans="10:10" ht="14.25" customHeight="1">
      <c r="J282" s="270"/>
    </row>
    <row r="283" spans="10:10" ht="14.25" customHeight="1">
      <c r="J283" s="270"/>
    </row>
    <row r="284" spans="10:10" ht="14.25" customHeight="1">
      <c r="J284" s="270"/>
    </row>
    <row r="285" spans="10:10" ht="14.25" customHeight="1">
      <c r="J285" s="270"/>
    </row>
    <row r="286" spans="10:10" ht="14.25" customHeight="1">
      <c r="J286" s="270"/>
    </row>
    <row r="287" spans="10:10" ht="14.25" customHeight="1">
      <c r="J287" s="270"/>
    </row>
    <row r="288" spans="10:10" ht="14.25" customHeight="1">
      <c r="J288" s="270"/>
    </row>
    <row r="289" spans="10:10" ht="14.25" customHeight="1">
      <c r="J289" s="270"/>
    </row>
    <row r="290" spans="10:10" ht="14.25" customHeight="1">
      <c r="J290" s="270"/>
    </row>
    <row r="291" spans="10:10" ht="14.25" customHeight="1">
      <c r="J291" s="270"/>
    </row>
    <row r="292" spans="10:10" ht="14.25" customHeight="1">
      <c r="J292" s="270"/>
    </row>
    <row r="293" spans="10:10" ht="14.25" customHeight="1">
      <c r="J293" s="270"/>
    </row>
    <row r="294" spans="10:10" ht="14.25" customHeight="1">
      <c r="J294" s="270"/>
    </row>
    <row r="295" spans="10:10" ht="14.25" customHeight="1">
      <c r="J295" s="270"/>
    </row>
    <row r="296" spans="10:10" ht="14.25" customHeight="1">
      <c r="J296" s="270"/>
    </row>
    <row r="297" spans="10:10" ht="14.25" customHeight="1">
      <c r="J297" s="270"/>
    </row>
    <row r="298" spans="10:10" ht="14.25" customHeight="1">
      <c r="J298" s="270"/>
    </row>
    <row r="299" spans="10:10" ht="14.25" customHeight="1">
      <c r="J299" s="270"/>
    </row>
    <row r="300" spans="10:10" ht="14.25" customHeight="1">
      <c r="J300" s="270"/>
    </row>
    <row r="301" spans="10:10" ht="14.25" customHeight="1">
      <c r="J301" s="270"/>
    </row>
    <row r="302" spans="10:10" ht="14.25" customHeight="1">
      <c r="J302" s="270"/>
    </row>
    <row r="303" spans="10:10" ht="14.25" customHeight="1">
      <c r="J303" s="270"/>
    </row>
    <row r="304" spans="10:10" ht="14.25" customHeight="1">
      <c r="J304" s="270"/>
    </row>
    <row r="305" spans="10:10" ht="14.25" customHeight="1">
      <c r="J305" s="270"/>
    </row>
    <row r="306" spans="10:10" ht="14.25" customHeight="1">
      <c r="J306" s="270"/>
    </row>
    <row r="307" spans="10:10" ht="14.25" customHeight="1">
      <c r="J307" s="270"/>
    </row>
    <row r="308" spans="10:10" ht="14.25" customHeight="1">
      <c r="J308" s="270"/>
    </row>
    <row r="309" spans="10:10" ht="14.25" customHeight="1">
      <c r="J309" s="270"/>
    </row>
    <row r="310" spans="10:10" ht="14.25" customHeight="1">
      <c r="J310" s="270"/>
    </row>
    <row r="311" spans="10:10" ht="14.25" customHeight="1">
      <c r="J311" s="270"/>
    </row>
    <row r="312" spans="10:10" ht="14.25" customHeight="1">
      <c r="J312" s="270"/>
    </row>
    <row r="313" spans="10:10" ht="14.25" customHeight="1">
      <c r="J313" s="270"/>
    </row>
    <row r="314" spans="10:10" ht="14.25" customHeight="1">
      <c r="J314" s="270"/>
    </row>
    <row r="315" spans="10:10" ht="14.25" customHeight="1">
      <c r="J315" s="270"/>
    </row>
    <row r="316" spans="10:10" ht="14.25" customHeight="1">
      <c r="J316" s="270"/>
    </row>
    <row r="317" spans="10:10" ht="14.25" customHeight="1">
      <c r="J317" s="270"/>
    </row>
    <row r="318" spans="10:10" ht="14.25" customHeight="1">
      <c r="J318" s="270"/>
    </row>
    <row r="319" spans="10:10" ht="14.25" customHeight="1">
      <c r="J319" s="270"/>
    </row>
    <row r="320" spans="10:10" ht="14.25" customHeight="1">
      <c r="J320" s="270"/>
    </row>
  </sheetData>
  <sheetProtection algorithmName="SHA-512" hashValue="KKF8XVE9Ck57pzgWchLgaIdq84ntY9gFpM16hX2nB/abYs1qZ8TmhSZUYi40nHnAFCLf19arGFufHXgN9ryIlg==" saltValue="0O73+WRn9lslA0GNDnO9Lw==" spinCount="100000" sheet="1" objects="1" scenarios="1"/>
  <mergeCells count="17">
    <mergeCell ref="A50:A51"/>
    <mergeCell ref="A1:C1"/>
    <mergeCell ref="A37:C37"/>
    <mergeCell ref="A76:C76"/>
    <mergeCell ref="A110:C110"/>
    <mergeCell ref="A44:A45"/>
    <mergeCell ref="A46:A47"/>
    <mergeCell ref="A48:A49"/>
    <mergeCell ref="A125:A126"/>
    <mergeCell ref="A91:A92"/>
    <mergeCell ref="A93:A94"/>
    <mergeCell ref="A88:A89"/>
    <mergeCell ref="A53:A54"/>
    <mergeCell ref="A55:A56"/>
    <mergeCell ref="A80:A81"/>
    <mergeCell ref="A82:A83"/>
    <mergeCell ref="A84:A85"/>
  </mergeCells>
  <pageMargins left="0.7" right="0.7" top="0.78740157499999996" bottom="0.78740157499999996" header="0.3" footer="0.3"/>
  <pageSetup paperSize="9" orientation="portrait" horizontalDpi="300" verticalDpi="0" r:id="rId1"/>
  <ignoredErrors>
    <ignoredError sqref="C48:H4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65D01-585C-40C9-86D1-55F9A38389D6}">
  <sheetPr>
    <tabColor rgb="FFFFC000"/>
  </sheetPr>
  <dimension ref="A1:U37"/>
  <sheetViews>
    <sheetView workbookViewId="0">
      <selection sqref="A1:C1"/>
    </sheetView>
  </sheetViews>
  <sheetFormatPr baseColWidth="10" defaultColWidth="11.42578125" defaultRowHeight="14.25" customHeight="1"/>
  <cols>
    <col min="1" max="1" width="32.140625" bestFit="1" customWidth="1"/>
    <col min="2" max="2" width="1.5703125" customWidth="1"/>
    <col min="3" max="3" width="4.85546875" style="4" bestFit="1" customWidth="1"/>
    <col min="4" max="4" width="1.5703125" style="4" customWidth="1"/>
    <col min="5" max="14" width="11.5703125" customWidth="1"/>
    <col min="17" max="17" width="20.7109375" customWidth="1"/>
    <col min="19" max="19" width="8.85546875" bestFit="1" customWidth="1"/>
    <col min="20" max="20" width="35.7109375" bestFit="1" customWidth="1"/>
  </cols>
  <sheetData>
    <row r="1" spans="1:21" s="5" customFormat="1" ht="14.25" customHeight="1">
      <c r="A1" s="973" t="s">
        <v>117</v>
      </c>
      <c r="B1" s="973"/>
      <c r="C1" s="973"/>
    </row>
    <row r="2" spans="1:21" s="5" customFormat="1" ht="14.25" customHeight="1">
      <c r="A2" s="567" t="s">
        <v>118</v>
      </c>
      <c r="B2" s="568"/>
      <c r="C2" s="568"/>
    </row>
    <row r="3" spans="1:21" s="5" customFormat="1" ht="14.25" customHeight="1">
      <c r="A3" s="215" t="s">
        <v>119</v>
      </c>
      <c r="C3" s="6" t="s">
        <v>5</v>
      </c>
      <c r="D3" s="6"/>
      <c r="E3" s="14"/>
      <c r="F3" s="15"/>
      <c r="G3" s="15"/>
      <c r="H3" s="15"/>
      <c r="I3" s="15"/>
      <c r="J3" s="15"/>
      <c r="K3" s="15"/>
      <c r="L3" s="15"/>
      <c r="M3" s="15"/>
      <c r="N3" s="16"/>
      <c r="P3" s="1014" t="s">
        <v>119</v>
      </c>
      <c r="Q3" s="1007" t="s">
        <v>122</v>
      </c>
      <c r="R3" s="1009" t="s">
        <v>123</v>
      </c>
      <c r="S3" s="1007" t="s">
        <v>124</v>
      </c>
      <c r="T3" s="1012" t="s">
        <v>125</v>
      </c>
    </row>
    <row r="4" spans="1:21" s="5" customFormat="1" ht="14.25" customHeight="1">
      <c r="A4" s="242" t="s">
        <v>126</v>
      </c>
      <c r="B4" s="9"/>
      <c r="C4" s="6" t="s">
        <v>5</v>
      </c>
      <c r="D4" s="6"/>
      <c r="E4" s="945"/>
      <c r="F4" s="946"/>
      <c r="G4" s="946"/>
      <c r="H4" s="946"/>
      <c r="I4" s="946"/>
      <c r="J4" s="946"/>
      <c r="K4" s="946"/>
      <c r="L4" s="946"/>
      <c r="M4" s="946"/>
      <c r="N4" s="947"/>
      <c r="P4" s="1015"/>
      <c r="Q4" s="1008"/>
      <c r="R4" s="1008"/>
      <c r="S4" s="1008"/>
      <c r="T4" s="1013"/>
    </row>
    <row r="5" spans="1:21" s="5" customFormat="1" ht="14.25" customHeight="1">
      <c r="A5" s="215" t="s">
        <v>128</v>
      </c>
      <c r="C5" s="6" t="s">
        <v>62</v>
      </c>
      <c r="D5" s="6"/>
      <c r="E5" s="17"/>
      <c r="F5" s="12"/>
      <c r="G5" s="12"/>
      <c r="H5" s="12"/>
      <c r="I5" s="12"/>
      <c r="J5" s="12"/>
      <c r="K5" s="12"/>
      <c r="L5" s="12"/>
      <c r="M5" s="12"/>
      <c r="N5" s="714"/>
      <c r="P5" s="887" t="s">
        <v>129</v>
      </c>
      <c r="Q5" s="888" t="s">
        <v>130</v>
      </c>
      <c r="R5" s="1017" t="s">
        <v>131</v>
      </c>
      <c r="S5" s="11">
        <v>202</v>
      </c>
      <c r="T5" s="7" t="s">
        <v>132</v>
      </c>
      <c r="U5" s="261" t="s">
        <v>133</v>
      </c>
    </row>
    <row r="6" spans="1:21" s="5" customFormat="1" ht="14.25" customHeight="1">
      <c r="A6" s="215" t="s">
        <v>134</v>
      </c>
      <c r="C6" s="6" t="s">
        <v>5</v>
      </c>
      <c r="D6" s="6"/>
      <c r="E6" s="17"/>
      <c r="F6" s="12"/>
      <c r="G6" s="12"/>
      <c r="H6" s="12"/>
      <c r="I6" s="12"/>
      <c r="J6" s="12"/>
      <c r="K6" s="12"/>
      <c r="L6" s="12"/>
      <c r="M6" s="12"/>
      <c r="N6" s="714"/>
      <c r="P6" s="887" t="s">
        <v>120</v>
      </c>
      <c r="Q6" s="888" t="s">
        <v>135</v>
      </c>
      <c r="R6" s="1017"/>
      <c r="S6" s="11">
        <v>200.6</v>
      </c>
      <c r="T6" s="7" t="s">
        <v>132</v>
      </c>
      <c r="U6" s="261" t="s">
        <v>133</v>
      </c>
    </row>
    <row r="7" spans="1:21" s="5" customFormat="1" ht="14.25" customHeight="1">
      <c r="A7" s="215" t="s">
        <v>136</v>
      </c>
      <c r="C7" s="6" t="s">
        <v>5</v>
      </c>
      <c r="D7" s="6"/>
      <c r="E7" s="18"/>
      <c r="F7" s="19"/>
      <c r="G7" s="19"/>
      <c r="H7" s="19"/>
      <c r="I7" s="19"/>
      <c r="J7" s="19"/>
      <c r="K7" s="19"/>
      <c r="L7" s="19"/>
      <c r="M7" s="19"/>
      <c r="N7" s="715"/>
      <c r="P7" s="1016" t="s">
        <v>137</v>
      </c>
      <c r="Q7" s="1017" t="s">
        <v>138</v>
      </c>
      <c r="R7" s="1017"/>
      <c r="S7" s="11">
        <v>100</v>
      </c>
      <c r="T7" s="7" t="s">
        <v>139</v>
      </c>
      <c r="U7" s="261" t="s">
        <v>133</v>
      </c>
    </row>
    <row r="8" spans="1:21" s="5" customFormat="1" ht="14.25" customHeight="1">
      <c r="C8" s="6"/>
      <c r="P8" s="1016"/>
      <c r="Q8" s="1017"/>
      <c r="R8" s="1017"/>
      <c r="S8" s="11">
        <v>150</v>
      </c>
      <c r="T8" s="7" t="s">
        <v>140</v>
      </c>
    </row>
    <row r="9" spans="1:21" s="5" customFormat="1" ht="14.25" customHeight="1">
      <c r="A9" s="567" t="s">
        <v>141</v>
      </c>
      <c r="B9" s="568"/>
      <c r="C9" s="568"/>
      <c r="P9" s="1016" t="s">
        <v>142</v>
      </c>
      <c r="Q9" s="888" t="s">
        <v>143</v>
      </c>
      <c r="R9" s="1017"/>
      <c r="S9" s="11">
        <v>74.099999999999994</v>
      </c>
      <c r="T9" s="7" t="s">
        <v>139</v>
      </c>
      <c r="U9" s="261" t="s">
        <v>133</v>
      </c>
    </row>
    <row r="10" spans="1:21" s="5" customFormat="1" ht="14.25" customHeight="1">
      <c r="A10" s="215" t="s">
        <v>144</v>
      </c>
      <c r="C10" s="6" t="s">
        <v>91</v>
      </c>
      <c r="D10" s="6"/>
      <c r="E10" s="566"/>
      <c r="F10" s="20"/>
      <c r="G10" s="20"/>
      <c r="H10" s="20"/>
      <c r="I10" s="21"/>
      <c r="J10" s="10"/>
      <c r="K10" s="1010" t="str">
        <f>IF(MAX($F10:$I10)*1000=ROUND(SUM(Tunneldaten!$E$16:$J$16),-2),"Summe ist korrekt (=Tunnellänge gemäss Tabelllenblatt Tunneldaten)","Werte unvollständig oder falsch - Summe muss der Tunnellänge gemäss Tabellenblatt Tunneldaten entsprechen")</f>
        <v>Summe ist korrekt (=Tunnellänge gemäss Tabelllenblatt Tunneldaten)</v>
      </c>
      <c r="L10" s="1010"/>
      <c r="M10" s="1010"/>
      <c r="N10" s="1010"/>
      <c r="O10" s="1011"/>
      <c r="P10" s="1016"/>
      <c r="Q10" s="888" t="s">
        <v>145</v>
      </c>
      <c r="R10" s="1017"/>
      <c r="S10" s="11">
        <v>106.3</v>
      </c>
      <c r="T10" s="7" t="s">
        <v>140</v>
      </c>
    </row>
    <row r="11" spans="1:21" s="5" customFormat="1" ht="14.25" customHeight="1">
      <c r="A11" s="215" t="s">
        <v>146</v>
      </c>
      <c r="C11" s="6" t="s">
        <v>147</v>
      </c>
      <c r="D11" s="6"/>
      <c r="E11" s="563"/>
      <c r="F11" s="564"/>
      <c r="G11" s="564"/>
      <c r="H11" s="564"/>
      <c r="I11" s="565"/>
      <c r="J11" s="10"/>
      <c r="K11" s="1010"/>
      <c r="L11" s="1010"/>
      <c r="M11" s="1010"/>
      <c r="N11" s="1010"/>
      <c r="O11" s="1011"/>
      <c r="P11" s="1016" t="s">
        <v>148</v>
      </c>
      <c r="Q11" s="1017" t="s">
        <v>149</v>
      </c>
      <c r="R11" s="1023" t="s">
        <v>150</v>
      </c>
      <c r="S11" s="243">
        <v>600</v>
      </c>
      <c r="T11" s="7" t="s">
        <v>151</v>
      </c>
    </row>
    <row r="12" spans="1:21" s="5" customFormat="1" ht="14.25" customHeight="1">
      <c r="A12"/>
      <c r="C12" s="6"/>
      <c r="D12" s="6"/>
      <c r="P12" s="1016"/>
      <c r="Q12" s="1017"/>
      <c r="R12" s="1023"/>
      <c r="S12" s="243">
        <v>300</v>
      </c>
      <c r="T12" s="7" t="s">
        <v>152</v>
      </c>
    </row>
    <row r="13" spans="1:21" s="5" customFormat="1" ht="14.25" customHeight="1">
      <c r="A13" s="215" t="s">
        <v>153</v>
      </c>
      <c r="C13" s="6" t="s">
        <v>91</v>
      </c>
      <c r="D13" s="6"/>
      <c r="E13" s="566"/>
      <c r="F13" s="20"/>
      <c r="G13" s="20"/>
      <c r="H13" s="20"/>
      <c r="I13" s="21"/>
      <c r="J13" s="10"/>
      <c r="K13" s="1010" t="str">
        <f>IF(MAX($F13:$I13)*1000=ROUND(SUM(Tunneldaten!$E$16:$J$16),-2),"Summe ist korrekt (=Tunnellänge gemäss Tabelllenblatt Tunneldaten)","Werte unvollständig oder falsch - Summe muss der Tunnellänge gemäss Tabellenblatt Tunneldaten entsprechen")</f>
        <v>Summe ist korrekt (=Tunnellänge gemäss Tabelllenblatt Tunneldaten)</v>
      </c>
      <c r="L13" s="1010"/>
      <c r="M13" s="1010"/>
      <c r="N13" s="1010"/>
      <c r="O13" s="1011"/>
      <c r="P13" s="1020" t="s">
        <v>154</v>
      </c>
      <c r="Q13" s="1017" t="s">
        <v>155</v>
      </c>
      <c r="R13" s="1023"/>
      <c r="S13" s="1018">
        <v>250</v>
      </c>
      <c r="T13" s="7" t="s">
        <v>156</v>
      </c>
    </row>
    <row r="14" spans="1:21" s="5" customFormat="1" ht="14.25" customHeight="1">
      <c r="A14" s="215" t="s">
        <v>146</v>
      </c>
      <c r="C14" s="6" t="s">
        <v>147</v>
      </c>
      <c r="D14" s="6"/>
      <c r="E14" s="563"/>
      <c r="F14" s="564"/>
      <c r="G14" s="564"/>
      <c r="H14" s="564"/>
      <c r="I14" s="565"/>
      <c r="J14" s="10"/>
      <c r="K14" s="1010"/>
      <c r="L14" s="1010"/>
      <c r="M14" s="1010"/>
      <c r="N14" s="1010"/>
      <c r="O14" s="1011"/>
      <c r="P14" s="1021"/>
      <c r="Q14" s="1022"/>
      <c r="R14" s="1024"/>
      <c r="S14" s="1019"/>
      <c r="T14" s="13" t="s">
        <v>157</v>
      </c>
    </row>
    <row r="15" spans="1:21" s="5" customFormat="1" ht="14.25" customHeight="1">
      <c r="P15" s="22"/>
    </row>
    <row r="16" spans="1:21" s="5" customFormat="1" ht="14.25" customHeight="1">
      <c r="A16"/>
      <c r="B16"/>
      <c r="C16" s="4"/>
      <c r="D16" s="4"/>
      <c r="E16"/>
      <c r="F16"/>
      <c r="G16"/>
      <c r="H16"/>
      <c r="I16"/>
      <c r="J16"/>
      <c r="K16"/>
      <c r="L16"/>
      <c r="M16"/>
      <c r="N16"/>
      <c r="T16" s="256" t="s">
        <v>158</v>
      </c>
    </row>
    <row r="17" spans="14:20" ht="14.25" customHeight="1">
      <c r="T17" s="256" t="s">
        <v>159</v>
      </c>
    </row>
    <row r="19" spans="14:20" ht="14.25" customHeight="1">
      <c r="N19" s="948"/>
    </row>
    <row r="27" spans="14:20" ht="14.25" customHeight="1">
      <c r="S27" s="4"/>
      <c r="T27" s="4"/>
    </row>
    <row r="28" spans="14:20" ht="14.25" customHeight="1">
      <c r="S28" s="4"/>
      <c r="T28" s="4"/>
    </row>
    <row r="29" spans="14:20" ht="14.25" customHeight="1">
      <c r="S29" s="4"/>
      <c r="T29" s="4"/>
    </row>
    <row r="30" spans="14:20" ht="14.25" customHeight="1">
      <c r="S30" s="4"/>
      <c r="T30" s="4"/>
    </row>
    <row r="31" spans="14:20" ht="14.25" customHeight="1">
      <c r="S31" s="4"/>
      <c r="T31" s="4"/>
    </row>
    <row r="32" spans="14:20" ht="14.25" customHeight="1">
      <c r="S32" s="4"/>
      <c r="T32" s="4"/>
    </row>
    <row r="33" spans="19:20" ht="14.25" customHeight="1">
      <c r="S33" s="4"/>
      <c r="T33" s="4"/>
    </row>
    <row r="34" spans="19:20" ht="14.25" customHeight="1">
      <c r="S34" s="4"/>
      <c r="T34" s="4"/>
    </row>
    <row r="35" spans="19:20" ht="14.25" customHeight="1">
      <c r="S35" s="4"/>
      <c r="T35" s="4"/>
    </row>
    <row r="36" spans="19:20" ht="14.25" customHeight="1">
      <c r="S36" s="4"/>
      <c r="T36" s="4"/>
    </row>
    <row r="37" spans="19:20" ht="14.25" customHeight="1">
      <c r="S37" s="4"/>
      <c r="T37" s="4"/>
    </row>
  </sheetData>
  <sheetProtection algorithmName="SHA-512" hashValue="FYIpi02VvOPJncjVZ49Bwnwowt3r73bqFN86cbbkHwFtzbqkUibLZKfloztfweTslrzP2L/oW+ruPMasmbifZg==" saltValue="oMM8bIqJNXfFgZAuT3rLww==" spinCount="100000" sheet="1" objects="1" scenarios="1"/>
  <protectedRanges>
    <protectedRange sqref="E3:N7 E10:I11 E13:I14" name="Eingabe"/>
  </protectedRanges>
  <mergeCells count="18">
    <mergeCell ref="K13:O14"/>
    <mergeCell ref="T3:T4"/>
    <mergeCell ref="P3:P4"/>
    <mergeCell ref="P7:P8"/>
    <mergeCell ref="Q7:Q8"/>
    <mergeCell ref="S13:S14"/>
    <mergeCell ref="P9:P10"/>
    <mergeCell ref="P11:P12"/>
    <mergeCell ref="P13:P14"/>
    <mergeCell ref="Q11:Q12"/>
    <mergeCell ref="Q13:Q14"/>
    <mergeCell ref="R11:R14"/>
    <mergeCell ref="R5:R10"/>
    <mergeCell ref="A1:C1"/>
    <mergeCell ref="Q3:Q4"/>
    <mergeCell ref="R3:R4"/>
    <mergeCell ref="S3:S4"/>
    <mergeCell ref="K10:O11"/>
  </mergeCells>
  <phoneticPr fontId="4" type="noConversion"/>
  <conditionalFormatting sqref="E3">
    <cfRule type="expression" dxfId="46" priority="3">
      <formula>E3=""</formula>
    </cfRule>
  </conditionalFormatting>
  <conditionalFormatting sqref="E10:F11 E13:F14">
    <cfRule type="expression" dxfId="45" priority="6">
      <formula>E10=""</formula>
    </cfRule>
  </conditionalFormatting>
  <conditionalFormatting sqref="E4:N4">
    <cfRule type="expression" dxfId="44" priority="4">
      <formula>AND(OR(E3="CEX",E3="Standard-GZ"),E4&lt;&gt;"")</formula>
    </cfRule>
    <cfRule type="expression" dxfId="43" priority="5">
      <formula>AND(OR(E3="CEX",E3="Standard-GZ"),E4="")</formula>
    </cfRule>
  </conditionalFormatting>
  <conditionalFormatting sqref="E5:N5">
    <cfRule type="expression" dxfId="42" priority="2">
      <formula>AND(E3&lt;&gt;"",E5="")</formula>
    </cfRule>
  </conditionalFormatting>
  <conditionalFormatting sqref="G11:I11 G14:I14">
    <cfRule type="expression" dxfId="41" priority="1">
      <formula>AND(G10&lt;&gt;"",G11="")</formula>
    </cfRule>
  </conditionalFormatting>
  <dataValidations count="2">
    <dataValidation type="whole" operator="greaterThanOrEqual" allowBlank="1" showInputMessage="1" showErrorMessage="1" sqref="E6:N7 E11:I11 E14:I14" xr:uid="{4B77FCA3-2633-4740-89A6-BB8451239C41}">
      <formula1>0</formula1>
    </dataValidation>
    <dataValidation type="decimal" operator="greaterThanOrEqual" allowBlank="1" showInputMessage="1" showErrorMessage="1" sqref="E10:I10 E13:I13" xr:uid="{96CA2474-B13B-4FE7-8361-F8D516B011B7}">
      <formula1>0</formula1>
    </dataValidation>
  </dataValidations>
  <hyperlinks>
    <hyperlink ref="U5" r:id="rId1" xr:uid="{AEE62348-A1BE-4503-B0CB-62473F80E413}"/>
    <hyperlink ref="U6" r:id="rId2" xr:uid="{A7031254-33A3-4520-801C-653F5E434D3A}"/>
    <hyperlink ref="U7" r:id="rId3" xr:uid="{3DCCB7B7-07C9-4C8F-A835-6B1E17EF04AD}"/>
    <hyperlink ref="U9" r:id="rId4" xr:uid="{D8FD3959-09CF-4E19-BC4C-F5E2B080DDCF}"/>
  </hyperlinks>
  <pageMargins left="0.7" right="0.7" top="0.78740157499999996" bottom="0.78740157499999996" header="0.3" footer="0.3"/>
  <pageSetup paperSize="9" orientation="portrait" horizontalDpi="300" verticalDpi="0" r:id="rId5"/>
  <drawing r:id="rId6"/>
  <extLst>
    <ext xmlns:x14="http://schemas.microsoft.com/office/spreadsheetml/2009/9/main" uri="{CCE6A557-97BC-4b89-ADB6-D9C93CAAB3DF}">
      <x14:dataValidations xmlns:xm="http://schemas.microsoft.com/office/excel/2006/main" count="4">
        <x14:dataValidation type="list" allowBlank="1" showInputMessage="1" showErrorMessage="1" xr:uid="{89B7E0F3-05E1-4288-AC74-14A6E72D5610}">
          <x14:formula1>
            <xm:f>Listen!$A$3:$A$4</xm:f>
          </x14:formula1>
          <xm:sqref>E41</xm:sqref>
        </x14:dataValidation>
        <x14:dataValidation type="list" allowBlank="1" showInputMessage="1" showErrorMessage="1" xr:uid="{84E48ED7-9969-4580-A5DE-0607ABE1B20F}">
          <x14:formula1>
            <xm:f>Listen!$X$3:$X$8</xm:f>
          </x14:formula1>
          <xm:sqref>E3:N3</xm:sqref>
        </x14:dataValidation>
        <x14:dataValidation type="list" allowBlank="1" showInputMessage="1" showErrorMessage="1" xr:uid="{6D35AADB-A22B-41C6-8A26-8E21005177A2}">
          <x14:formula1>
            <xm:f>IF(E$3=Listen!$X$7,Listen!$AC$3:$AC$4,IF(E$3=Listen!$X$8,Listen!$AD$3:$AD$4,"-"))</xm:f>
          </x14:formula1>
          <xm:sqref>E4:N4</xm:sqref>
        </x14:dataValidation>
        <x14:dataValidation type="list" allowBlank="1" showInputMessage="1" showErrorMessage="1" xr:uid="{12AB46B2-4DDE-4380-AF3D-0CFD18F4A9A5}">
          <x14:formula1>
            <xm:f>IF(E$3=Listen!$Y$2,Listen!$Y$3:$Y$4,IF(E$3=Listen!$Z$2,Listen!$Z$3:$Z$4,IF(E$3=Listen!$AA$2,Listen!$AA$3:$AA$6,IF(E$3=Listen!$AB$2,Listen!$AB$3:$AB$7,IF(E$3=Listen!$AE$2,Listen!$AE$3:$AE$4,IF(E$3=Listen!$AF$2,Listen!$AF$3,"-"))))))</xm:f>
          </x14:formula1>
          <xm:sqref>E5:N5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EE62B-070A-4B70-9744-C98A4D6289D2}">
  <sheetPr>
    <tabColor rgb="FF92D050"/>
  </sheetPr>
  <dimension ref="A1:W49"/>
  <sheetViews>
    <sheetView workbookViewId="0">
      <selection sqref="A1:C1"/>
    </sheetView>
  </sheetViews>
  <sheetFormatPr baseColWidth="10" defaultColWidth="11.42578125" defaultRowHeight="14.25" customHeight="1"/>
  <cols>
    <col min="1" max="1" width="67.28515625" bestFit="1" customWidth="1"/>
    <col min="2" max="2" width="8.140625" style="4" bestFit="1" customWidth="1"/>
    <col min="3" max="3" width="20.42578125" bestFit="1" customWidth="1"/>
    <col min="6" max="6" width="18.5703125" customWidth="1"/>
    <col min="7" max="7" width="19" bestFit="1" customWidth="1"/>
    <col min="8" max="8" width="17" bestFit="1" customWidth="1"/>
    <col min="14" max="14" width="17" bestFit="1" customWidth="1"/>
  </cols>
  <sheetData>
    <row r="1" spans="1:23" ht="14.25" customHeight="1">
      <c r="A1" s="1025" t="s">
        <v>160</v>
      </c>
      <c r="B1" s="1025"/>
      <c r="C1" s="1025"/>
    </row>
    <row r="3" spans="1:23" ht="14.25" customHeight="1" thickBot="1"/>
    <row r="4" spans="1:23" ht="14.25" customHeight="1">
      <c r="A4" s="611" t="s">
        <v>30</v>
      </c>
      <c r="B4" s="612" t="s">
        <v>25</v>
      </c>
      <c r="C4" s="627">
        <f>Innendurchmesser</f>
        <v>0</v>
      </c>
    </row>
    <row r="5" spans="1:23" ht="14.25" customHeight="1">
      <c r="A5" s="617" t="s">
        <v>161</v>
      </c>
      <c r="B5" s="618" t="s">
        <v>25</v>
      </c>
      <c r="C5" s="628">
        <f>Tunneldaten!E7</f>
        <v>0</v>
      </c>
    </row>
    <row r="6" spans="1:23" ht="14.25" customHeight="1">
      <c r="C6" s="629"/>
    </row>
    <row r="7" spans="1:23" ht="14.25" customHeight="1">
      <c r="A7" s="609" t="s">
        <v>162</v>
      </c>
      <c r="B7" s="610"/>
      <c r="C7" s="629"/>
      <c r="U7">
        <v>12</v>
      </c>
      <c r="V7">
        <v>13</v>
      </c>
      <c r="W7">
        <v>14</v>
      </c>
    </row>
    <row r="8" spans="1:23" ht="7.5" customHeight="1">
      <c r="C8" s="630"/>
      <c r="F8" s="3"/>
    </row>
    <row r="9" spans="1:23" ht="14.25" customHeight="1">
      <c r="A9" s="611" t="s">
        <v>163</v>
      </c>
      <c r="B9" s="612" t="s">
        <v>164</v>
      </c>
      <c r="C9" s="631">
        <f>Baukosten!H5</f>
        <v>0</v>
      </c>
      <c r="D9" s="623" t="str">
        <f>IFERROR(C9/C$14,"")</f>
        <v/>
      </c>
      <c r="F9" s="3"/>
      <c r="G9" s="2"/>
      <c r="H9" s="3"/>
      <c r="T9" s="48" t="s">
        <v>165</v>
      </c>
      <c r="U9" s="85">
        <v>22732.813512290348</v>
      </c>
      <c r="V9" s="85">
        <v>24481.491474774219</v>
      </c>
      <c r="W9" s="85">
        <v>26230.16943725809</v>
      </c>
    </row>
    <row r="10" spans="1:23" ht="14.25" customHeight="1">
      <c r="A10" s="614" t="s">
        <v>166</v>
      </c>
      <c r="B10" s="615" t="s">
        <v>164</v>
      </c>
      <c r="C10" s="632">
        <f>Baukosten!H6</f>
        <v>0</v>
      </c>
      <c r="D10" s="624" t="str">
        <f t="shared" ref="D10:D13" si="0">IFERROR(C10/C$14,"")</f>
        <v/>
      </c>
      <c r="F10" s="3"/>
      <c r="G10" s="2"/>
      <c r="H10" s="3"/>
      <c r="T10" s="48" t="s">
        <v>167</v>
      </c>
      <c r="U10" s="85">
        <v>1559.7747179594189</v>
      </c>
      <c r="V10" s="85">
        <v>1795.1845292128162</v>
      </c>
      <c r="W10" s="85">
        <v>2047.083931986376</v>
      </c>
    </row>
    <row r="11" spans="1:23" ht="14.25" customHeight="1">
      <c r="A11" s="614" t="s">
        <v>168</v>
      </c>
      <c r="B11" s="615" t="s">
        <v>164</v>
      </c>
      <c r="C11" s="632">
        <f>Baukosten!H7</f>
        <v>0</v>
      </c>
      <c r="D11" s="624" t="str">
        <f t="shared" si="0"/>
        <v/>
      </c>
      <c r="F11" s="3"/>
      <c r="G11" s="2"/>
      <c r="H11" s="3"/>
      <c r="T11" s="48" t="s">
        <v>169</v>
      </c>
      <c r="U11" s="85">
        <v>886.33313712757342</v>
      </c>
      <c r="V11" s="85">
        <v>1027.936656076949</v>
      </c>
      <c r="W11" s="85">
        <v>1180.0293245781304</v>
      </c>
    </row>
    <row r="12" spans="1:23" ht="14.25" customHeight="1">
      <c r="A12" s="614" t="s">
        <v>170</v>
      </c>
      <c r="B12" s="615" t="s">
        <v>164</v>
      </c>
      <c r="C12" s="632">
        <f>Baukosten!H8</f>
        <v>0</v>
      </c>
      <c r="D12" s="624" t="str">
        <f t="shared" si="0"/>
        <v/>
      </c>
      <c r="F12" s="3"/>
      <c r="G12" s="2"/>
      <c r="H12" s="3"/>
      <c r="T12" s="48" t="s">
        <v>171</v>
      </c>
      <c r="U12" s="85">
        <v>6351.6984755010453</v>
      </c>
      <c r="V12" s="85">
        <v>6076.6909838467927</v>
      </c>
      <c r="W12" s="85">
        <v>5903.1962312476626</v>
      </c>
    </row>
    <row r="13" spans="1:23" ht="14.25" customHeight="1">
      <c r="A13" s="617" t="s">
        <v>104</v>
      </c>
      <c r="B13" s="618" t="s">
        <v>164</v>
      </c>
      <c r="C13" s="628">
        <f>Baukosten!H9</f>
        <v>0</v>
      </c>
      <c r="D13" s="625" t="str">
        <f t="shared" si="0"/>
        <v/>
      </c>
      <c r="F13" s="3"/>
      <c r="G13" s="2"/>
      <c r="H13" s="3"/>
      <c r="T13" s="48"/>
      <c r="U13" s="85"/>
      <c r="V13" s="85"/>
      <c r="W13" s="85"/>
    </row>
    <row r="14" spans="1:23" ht="14.25" customHeight="1">
      <c r="A14" s="620" t="s">
        <v>172</v>
      </c>
      <c r="B14" s="621" t="s">
        <v>164</v>
      </c>
      <c r="C14" s="633">
        <f>SUM(C9:C13)</f>
        <v>0</v>
      </c>
      <c r="D14" s="626" t="str">
        <f>IFERROR(C14/C$14,"")</f>
        <v/>
      </c>
      <c r="F14" s="2"/>
      <c r="G14" s="2"/>
    </row>
    <row r="15" spans="1:23" ht="14.25" customHeight="1">
      <c r="B15"/>
      <c r="C15" s="629"/>
    </row>
    <row r="16" spans="1:23" ht="14.25" customHeight="1">
      <c r="A16" s="609" t="s">
        <v>173</v>
      </c>
      <c r="B16" s="622"/>
      <c r="C16" s="629"/>
      <c r="H16" s="47"/>
    </row>
    <row r="17" spans="1:14" ht="7.5" customHeight="1">
      <c r="B17"/>
      <c r="C17" s="629"/>
    </row>
    <row r="18" spans="1:14" ht="14.25" customHeight="1">
      <c r="A18" s="611" t="s">
        <v>174</v>
      </c>
      <c r="B18" s="612" t="s">
        <v>175</v>
      </c>
      <c r="C18" s="631">
        <f>Energie!D9</f>
        <v>0</v>
      </c>
      <c r="D18" s="623" t="str">
        <f>IFERROR(C18/C$22,"")</f>
        <v/>
      </c>
      <c r="H18" s="636"/>
    </row>
    <row r="19" spans="1:14" ht="14.25" customHeight="1">
      <c r="A19" s="614" t="s">
        <v>169</v>
      </c>
      <c r="B19" s="615" t="s">
        <v>175</v>
      </c>
      <c r="C19" s="632">
        <f>Energie!D24</f>
        <v>0</v>
      </c>
      <c r="D19" s="624" t="str">
        <f t="shared" ref="D19:D21" si="1">IFERROR(C19/C$22,"")</f>
        <v/>
      </c>
      <c r="H19" s="635"/>
    </row>
    <row r="20" spans="1:14" ht="14.25" customHeight="1">
      <c r="A20" s="614" t="s">
        <v>176</v>
      </c>
      <c r="B20" s="615" t="s">
        <v>175</v>
      </c>
      <c r="C20" s="632">
        <f>Energie!D17</f>
        <v>0</v>
      </c>
      <c r="D20" s="624" t="str">
        <f t="shared" si="1"/>
        <v/>
      </c>
      <c r="I20" s="635"/>
    </row>
    <row r="21" spans="1:14" ht="14.25" customHeight="1">
      <c r="A21" s="617" t="s">
        <v>177</v>
      </c>
      <c r="B21" s="618" t="s">
        <v>175</v>
      </c>
      <c r="C21" s="628">
        <f>ROUND(Traktionsenergie!$D$26*IF(Betriebsjahre&lt;&gt;"",Betriebsjahre,Betriebsjahre_Default),-1)</f>
        <v>0</v>
      </c>
      <c r="D21" s="625" t="str">
        <f t="shared" si="1"/>
        <v/>
      </c>
      <c r="F21" t="s">
        <v>178</v>
      </c>
      <c r="H21" s="47"/>
      <c r="I21" s="635"/>
    </row>
    <row r="22" spans="1:14" ht="14.25" customHeight="1">
      <c r="A22" s="620" t="s">
        <v>179</v>
      </c>
      <c r="B22" s="621" t="s">
        <v>175</v>
      </c>
      <c r="C22" s="633">
        <f>SUM(C18:C21)</f>
        <v>0</v>
      </c>
      <c r="D22" s="626" t="str">
        <f>IFERROR(C22/C$22,"")</f>
        <v/>
      </c>
    </row>
    <row r="23" spans="1:14" ht="14.25" customHeight="1">
      <c r="B23"/>
      <c r="C23" s="629"/>
    </row>
    <row r="24" spans="1:14" ht="14.25" customHeight="1">
      <c r="A24" s="609" t="s">
        <v>675</v>
      </c>
      <c r="B24" s="622"/>
      <c r="C24" s="629"/>
    </row>
    <row r="25" spans="1:14" ht="7.5" customHeight="1">
      <c r="B25"/>
      <c r="C25" s="629"/>
    </row>
    <row r="26" spans="1:14" ht="14.25" customHeight="1">
      <c r="A26" s="611" t="s">
        <v>174</v>
      </c>
      <c r="B26" s="612" t="s">
        <v>180</v>
      </c>
      <c r="C26" s="631">
        <f>ROUND(Energie!C9/1000,0)</f>
        <v>0</v>
      </c>
      <c r="D26" s="623" t="str">
        <f>IFERROR(C26/C$30,"")</f>
        <v/>
      </c>
      <c r="L26" s="1"/>
      <c r="M26" s="1"/>
      <c r="N26" s="1"/>
    </row>
    <row r="27" spans="1:14" ht="14.25" customHeight="1">
      <c r="A27" s="614" t="s">
        <v>181</v>
      </c>
      <c r="B27" s="615" t="s">
        <v>180</v>
      </c>
      <c r="C27" s="632">
        <f>ROUND(Energie!C24/1000,0)</f>
        <v>0</v>
      </c>
      <c r="D27" s="624" t="str">
        <f t="shared" ref="D27:D30" si="2">IFERROR(C27/C$30,"")</f>
        <v/>
      </c>
      <c r="G27">
        <f>IF(ISERROR(VLOOKUP(IF(Betriebsjahre&lt;&gt;"",Betriebsjahre,Betriebsjahre_Default),HilfstabelleDiskontierung!$A$5:$H$204,8,FALSE)),"-   ",VLOOKUP(IF(Betriebsjahre&lt;&gt;"",Betriebsjahre,Betriebsjahre_Default),HilfstabelleDiskontierung!$A$5:$H$204,8,FALSE))</f>
        <v>0</v>
      </c>
      <c r="L27" s="1"/>
      <c r="M27" s="1"/>
      <c r="N27" s="1"/>
    </row>
    <row r="28" spans="1:14" ht="14.25" customHeight="1">
      <c r="A28" s="614" t="s">
        <v>176</v>
      </c>
      <c r="B28" s="615" t="s">
        <v>180</v>
      </c>
      <c r="C28" s="632">
        <f>ROUND(Energie!C17/1000,0)</f>
        <v>0</v>
      </c>
      <c r="D28" s="624" t="str">
        <f t="shared" si="2"/>
        <v/>
      </c>
      <c r="L28" s="1"/>
      <c r="M28" s="1"/>
      <c r="N28" s="1"/>
    </row>
    <row r="29" spans="1:14" ht="14.25" customHeight="1">
      <c r="A29" s="617" t="s">
        <v>177</v>
      </c>
      <c r="B29" s="618" t="s">
        <v>180</v>
      </c>
      <c r="C29" s="628">
        <f>ROUND(C21*(Parameter!$C$112*Parameter!$C$199+Parameter!C113*Parameter!$C$200)/1000,0)</f>
        <v>0</v>
      </c>
      <c r="D29" s="625" t="str">
        <f t="shared" si="2"/>
        <v/>
      </c>
      <c r="F29" t="s">
        <v>178</v>
      </c>
      <c r="L29" s="1"/>
      <c r="M29" s="1"/>
      <c r="N29" s="1"/>
    </row>
    <row r="30" spans="1:14" ht="14.25" customHeight="1">
      <c r="A30" s="620" t="s">
        <v>674</v>
      </c>
      <c r="B30" s="621" t="s">
        <v>180</v>
      </c>
      <c r="C30" s="633">
        <f>SUM(C26:C29)</f>
        <v>0</v>
      </c>
      <c r="D30" s="626" t="str">
        <f t="shared" si="2"/>
        <v/>
      </c>
      <c r="L30" s="1"/>
      <c r="M30" s="1"/>
      <c r="N30" s="1"/>
    </row>
    <row r="31" spans="1:14" ht="14.25" customHeight="1">
      <c r="B31"/>
      <c r="C31" s="629"/>
      <c r="L31" s="1"/>
      <c r="M31" s="1"/>
      <c r="N31" s="1"/>
    </row>
    <row r="32" spans="1:14" ht="14.25" customHeight="1">
      <c r="A32" s="609" t="s">
        <v>182</v>
      </c>
      <c r="B32" s="622"/>
      <c r="C32" s="629"/>
      <c r="F32" s="873"/>
      <c r="L32" s="1"/>
      <c r="M32" s="1"/>
      <c r="N32" s="1"/>
    </row>
    <row r="33" spans="1:14" ht="7.5" customHeight="1">
      <c r="B33"/>
      <c r="C33" s="629"/>
      <c r="L33" s="1"/>
      <c r="M33" s="1"/>
      <c r="N33" s="1"/>
    </row>
    <row r="34" spans="1:14" ht="14.25" customHeight="1">
      <c r="A34" s="611" t="s">
        <v>183</v>
      </c>
      <c r="B34" s="612" t="s">
        <v>164</v>
      </c>
      <c r="C34" s="631">
        <f>C14</f>
        <v>0</v>
      </c>
      <c r="D34" s="623" t="str">
        <f>IFERROR(C34/C$37,"")</f>
        <v/>
      </c>
      <c r="L34" s="1"/>
      <c r="M34" s="1"/>
      <c r="N34" s="1"/>
    </row>
    <row r="35" spans="1:14" ht="14.25" customHeight="1">
      <c r="A35" s="614" t="s">
        <v>184</v>
      </c>
      <c r="B35" s="615" t="s">
        <v>164</v>
      </c>
      <c r="C35" s="632" t="str">
        <f>IF(ISERROR(VLOOKUP(IF(Betriebsjahre&lt;&gt;"",Betriebsjahre,Betriebsjahre_Default),HilfstabelleDiskontierung!$A$5:$G$204,7,FALSE)),"-   ",VLOOKUP(IF(Betriebsjahre&lt;&gt;"",Betriebsjahre,Betriebsjahre_Default),HilfstabelleDiskontierung!$A$5:$G$204,7,FALSE))</f>
        <v xml:space="preserve">-   </v>
      </c>
      <c r="D35" s="624" t="str">
        <f t="shared" ref="D35:D37" si="3">IFERROR(C35/C$37,"")</f>
        <v/>
      </c>
      <c r="F35" t="s">
        <v>185</v>
      </c>
      <c r="L35" s="1"/>
      <c r="M35" s="1"/>
      <c r="N35" s="1"/>
    </row>
    <row r="36" spans="1:14" ht="14.25" customHeight="1">
      <c r="A36" s="617" t="s">
        <v>673</v>
      </c>
      <c r="B36" s="618" t="s">
        <v>164</v>
      </c>
      <c r="C36" s="628">
        <f>(C26+C27+C28)*Parameter!$C$201+IF(ISERROR(VLOOKUP(IF(Betriebsjahre&lt;&gt;"",Betriebsjahre,Betriebsjahre_Default),HilfstabelleDiskontierung!$A$5:$H$204,8,FALSE)),"-   ",VLOOKUP(IF(Betriebsjahre&lt;&gt;"",Betriebsjahre,Betriebsjahre_Default),HilfstabelleDiskontierung!$A$5:$H$204,8,FALSE))</f>
        <v>0</v>
      </c>
      <c r="D36" s="625" t="str">
        <f t="shared" si="3"/>
        <v/>
      </c>
      <c r="F36" t="s">
        <v>186</v>
      </c>
      <c r="L36" s="1"/>
      <c r="M36" s="1"/>
      <c r="N36" s="1"/>
    </row>
    <row r="37" spans="1:14" ht="14.25" customHeight="1" thickBot="1">
      <c r="A37" s="620" t="s">
        <v>187</v>
      </c>
      <c r="B37" s="621" t="s">
        <v>164</v>
      </c>
      <c r="C37" s="634">
        <f>SUM(C34:C36)</f>
        <v>0</v>
      </c>
      <c r="D37" s="626" t="str">
        <f t="shared" si="3"/>
        <v/>
      </c>
      <c r="L37" s="1"/>
      <c r="M37" s="1"/>
      <c r="N37" s="1"/>
    </row>
    <row r="38" spans="1:14" ht="14.25" customHeight="1">
      <c r="L38" s="1"/>
      <c r="M38" s="1"/>
      <c r="N38" s="1"/>
    </row>
    <row r="39" spans="1:14" ht="14.25" customHeight="1">
      <c r="A39" s="609" t="s">
        <v>188</v>
      </c>
      <c r="B39" s="622"/>
      <c r="N39" s="1"/>
    </row>
    <row r="40" spans="1:14" ht="7.5" customHeight="1">
      <c r="B40"/>
      <c r="N40" s="1"/>
    </row>
    <row r="41" spans="1:14" ht="14.25" customHeight="1">
      <c r="A41" s="611" t="s">
        <v>189</v>
      </c>
      <c r="B41" s="612" t="s">
        <v>190</v>
      </c>
      <c r="C41" s="613">
        <f>ROUND(Transport!I45,1)</f>
        <v>0</v>
      </c>
      <c r="N41" s="1"/>
    </row>
    <row r="42" spans="1:14" ht="14.25" customHeight="1">
      <c r="A42" s="614" t="s">
        <v>191</v>
      </c>
      <c r="B42" s="615" t="s">
        <v>190</v>
      </c>
      <c r="C42" s="616">
        <f>ROUND(Transport!I47,1)</f>
        <v>0</v>
      </c>
      <c r="E42" s="586"/>
      <c r="N42" s="1"/>
    </row>
    <row r="43" spans="1:14" ht="14.25" customHeight="1">
      <c r="A43" s="614" t="s">
        <v>98</v>
      </c>
      <c r="B43" s="615" t="s">
        <v>190</v>
      </c>
      <c r="C43" s="616">
        <f>ROUND(Transport!I52,1)</f>
        <v>0</v>
      </c>
      <c r="N43" s="1"/>
    </row>
    <row r="44" spans="1:14" ht="14.25" customHeight="1">
      <c r="A44" s="614" t="s">
        <v>192</v>
      </c>
      <c r="B44" s="615" t="s">
        <v>190</v>
      </c>
      <c r="C44" s="616">
        <f>ROUND(Transport!I54,1)</f>
        <v>0</v>
      </c>
      <c r="N44" s="1"/>
    </row>
    <row r="45" spans="1:14" ht="14.25" customHeight="1">
      <c r="A45" s="617" t="s">
        <v>100</v>
      </c>
      <c r="B45" s="618" t="s">
        <v>190</v>
      </c>
      <c r="C45" s="619">
        <f>ROUND(Transport!I56,1)</f>
        <v>0</v>
      </c>
      <c r="N45" s="1"/>
    </row>
    <row r="46" spans="1:14" ht="14.25" customHeight="1">
      <c r="B46"/>
      <c r="N46" s="1"/>
    </row>
    <row r="47" spans="1:14" ht="14.25" customHeight="1">
      <c r="N47" s="1"/>
    </row>
    <row r="48" spans="1:14" ht="14.25" customHeight="1">
      <c r="B48" s="209"/>
      <c r="N48" s="1"/>
    </row>
    <row r="49" spans="14:14" ht="14.25" customHeight="1">
      <c r="N49" s="1"/>
    </row>
  </sheetData>
  <mergeCells count="1">
    <mergeCell ref="A1:C1"/>
  </mergeCells>
  <pageMargins left="0.7" right="0.7" top="0.78740157499999996" bottom="0.78740157499999996"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73B7-75B9-4A41-AFB7-4D39E61BFECD}">
  <sheetPr>
    <tabColor rgb="FF92D050"/>
  </sheetPr>
  <dimension ref="A1:G45"/>
  <sheetViews>
    <sheetView workbookViewId="0">
      <selection sqref="A1:C1"/>
    </sheetView>
  </sheetViews>
  <sheetFormatPr baseColWidth="10" defaultColWidth="11.42578125" defaultRowHeight="14.25" customHeight="1"/>
  <cols>
    <col min="1" max="1" width="64.7109375" customWidth="1"/>
    <col min="2" max="2" width="8.42578125" style="4" bestFit="1" customWidth="1"/>
    <col min="3" max="7" width="14" customWidth="1"/>
  </cols>
  <sheetData>
    <row r="1" spans="1:7" ht="14.25" customHeight="1">
      <c r="A1" s="1025" t="s">
        <v>193</v>
      </c>
      <c r="B1" s="1025"/>
      <c r="C1" s="1025"/>
    </row>
    <row r="3" spans="1:7" ht="14.25" customHeight="1">
      <c r="C3" s="1026" t="s">
        <v>194</v>
      </c>
      <c r="D3" s="1026"/>
      <c r="E3" s="1026"/>
      <c r="F3" s="1026"/>
      <c r="G3" s="1026"/>
    </row>
    <row r="4" spans="1:7" ht="14.25" customHeight="1">
      <c r="A4" s="611" t="s">
        <v>30</v>
      </c>
      <c r="B4" s="612" t="s">
        <v>25</v>
      </c>
      <c r="C4" s="874"/>
      <c r="D4" s="875"/>
      <c r="E4" s="875"/>
      <c r="F4" s="875"/>
      <c r="G4" s="876"/>
    </row>
    <row r="5" spans="1:7" ht="14.25" customHeight="1">
      <c r="A5" s="617" t="s">
        <v>161</v>
      </c>
      <c r="B5" s="618" t="s">
        <v>25</v>
      </c>
      <c r="C5" s="728"/>
      <c r="D5" s="729"/>
      <c r="E5" s="729"/>
      <c r="F5" s="729"/>
      <c r="G5" s="730"/>
    </row>
    <row r="6" spans="1:7" ht="14.25" customHeight="1">
      <c r="C6" s="731"/>
      <c r="D6" s="471"/>
      <c r="E6" s="471"/>
      <c r="F6" s="471"/>
      <c r="G6" s="732"/>
    </row>
    <row r="7" spans="1:7" ht="14.25" customHeight="1">
      <c r="A7" s="609" t="s">
        <v>162</v>
      </c>
      <c r="B7" s="610"/>
      <c r="C7" s="731"/>
      <c r="D7" s="471"/>
      <c r="E7" s="471"/>
      <c r="F7" s="471"/>
      <c r="G7" s="732"/>
    </row>
    <row r="8" spans="1:7" ht="8.25" customHeight="1">
      <c r="C8" s="733"/>
      <c r="D8" s="734"/>
      <c r="E8" s="734"/>
      <c r="F8" s="734"/>
      <c r="G8" s="735"/>
    </row>
    <row r="9" spans="1:7" ht="14.25" customHeight="1">
      <c r="A9" s="611" t="s">
        <v>163</v>
      </c>
      <c r="B9" s="612" t="s">
        <v>164</v>
      </c>
      <c r="C9" s="736"/>
      <c r="D9" s="737"/>
      <c r="E9" s="737"/>
      <c r="F9" s="737"/>
      <c r="G9" s="738"/>
    </row>
    <row r="10" spans="1:7" ht="14.25" customHeight="1">
      <c r="A10" s="614" t="s">
        <v>166</v>
      </c>
      <c r="B10" s="615" t="s">
        <v>164</v>
      </c>
      <c r="C10" s="739"/>
      <c r="D10" s="740"/>
      <c r="E10" s="740"/>
      <c r="F10" s="740"/>
      <c r="G10" s="741"/>
    </row>
    <row r="11" spans="1:7" ht="14.25" customHeight="1">
      <c r="A11" s="614" t="s">
        <v>168</v>
      </c>
      <c r="B11" s="615" t="s">
        <v>164</v>
      </c>
      <c r="C11" s="739"/>
      <c r="D11" s="740"/>
      <c r="E11" s="740"/>
      <c r="F11" s="740"/>
      <c r="G11" s="741"/>
    </row>
    <row r="12" spans="1:7" ht="14.25" customHeight="1">
      <c r="A12" s="614" t="s">
        <v>170</v>
      </c>
      <c r="B12" s="615" t="s">
        <v>164</v>
      </c>
      <c r="C12" s="739"/>
      <c r="D12" s="740"/>
      <c r="E12" s="740"/>
      <c r="F12" s="740"/>
      <c r="G12" s="741"/>
    </row>
    <row r="13" spans="1:7" ht="14.25" customHeight="1">
      <c r="A13" s="617" t="s">
        <v>104</v>
      </c>
      <c r="B13" s="618" t="s">
        <v>164</v>
      </c>
      <c r="C13" s="728"/>
      <c r="D13" s="729"/>
      <c r="E13" s="729"/>
      <c r="F13" s="729"/>
      <c r="G13" s="730"/>
    </row>
    <row r="14" spans="1:7" ht="14.25" customHeight="1">
      <c r="A14" s="620" t="s">
        <v>172</v>
      </c>
      <c r="B14" s="621" t="s">
        <v>164</v>
      </c>
      <c r="C14" s="742"/>
      <c r="D14" s="743"/>
      <c r="E14" s="743"/>
      <c r="F14" s="743"/>
      <c r="G14" s="744"/>
    </row>
    <row r="15" spans="1:7" ht="14.25" customHeight="1">
      <c r="B15"/>
      <c r="C15" s="731"/>
      <c r="D15" s="471"/>
      <c r="E15" s="471"/>
      <c r="F15" s="471"/>
      <c r="G15" s="732"/>
    </row>
    <row r="16" spans="1:7" ht="14.25" customHeight="1">
      <c r="A16" s="609" t="s">
        <v>173</v>
      </c>
      <c r="B16" s="622"/>
      <c r="C16" s="731"/>
      <c r="D16" s="471"/>
      <c r="E16" s="471"/>
      <c r="F16" s="471"/>
      <c r="G16" s="732"/>
    </row>
    <row r="17" spans="1:7" ht="8.25" customHeight="1">
      <c r="B17"/>
      <c r="C17" s="731"/>
      <c r="D17" s="471"/>
      <c r="E17" s="471"/>
      <c r="F17" s="471"/>
      <c r="G17" s="732"/>
    </row>
    <row r="18" spans="1:7" ht="14.25" customHeight="1">
      <c r="A18" s="611" t="s">
        <v>174</v>
      </c>
      <c r="B18" s="612" t="s">
        <v>175</v>
      </c>
      <c r="C18" s="736"/>
      <c r="D18" s="737"/>
      <c r="E18" s="737"/>
      <c r="F18" s="737"/>
      <c r="G18" s="738"/>
    </row>
    <row r="19" spans="1:7" ht="14.25" customHeight="1">
      <c r="A19" s="614" t="s">
        <v>169</v>
      </c>
      <c r="B19" s="615" t="s">
        <v>175</v>
      </c>
      <c r="C19" s="739"/>
      <c r="D19" s="740"/>
      <c r="E19" s="740"/>
      <c r="F19" s="740"/>
      <c r="G19" s="741"/>
    </row>
    <row r="20" spans="1:7" ht="14.25" customHeight="1">
      <c r="A20" s="614" t="s">
        <v>176</v>
      </c>
      <c r="B20" s="615" t="s">
        <v>175</v>
      </c>
      <c r="C20" s="739"/>
      <c r="D20" s="740"/>
      <c r="E20" s="740"/>
      <c r="F20" s="740"/>
      <c r="G20" s="741"/>
    </row>
    <row r="21" spans="1:7" ht="14.25" customHeight="1">
      <c r="A21" s="617" t="s">
        <v>177</v>
      </c>
      <c r="B21" s="618" t="s">
        <v>175</v>
      </c>
      <c r="C21" s="728"/>
      <c r="D21" s="729"/>
      <c r="E21" s="729"/>
      <c r="F21" s="729"/>
      <c r="G21" s="730"/>
    </row>
    <row r="22" spans="1:7" ht="14.25" customHeight="1">
      <c r="A22" s="620" t="s">
        <v>179</v>
      </c>
      <c r="B22" s="621" t="s">
        <v>175</v>
      </c>
      <c r="C22" s="742"/>
      <c r="D22" s="743"/>
      <c r="E22" s="743"/>
      <c r="F22" s="743"/>
      <c r="G22" s="744"/>
    </row>
    <row r="23" spans="1:7" ht="14.25" customHeight="1">
      <c r="B23"/>
      <c r="C23" s="731"/>
      <c r="D23" s="471"/>
      <c r="E23" s="471"/>
      <c r="F23" s="471"/>
      <c r="G23" s="732"/>
    </row>
    <row r="24" spans="1:7" ht="14.25" customHeight="1">
      <c r="A24" s="609" t="s">
        <v>675</v>
      </c>
      <c r="B24" s="622"/>
      <c r="C24" s="731"/>
      <c r="D24" s="471"/>
      <c r="E24" s="471"/>
      <c r="F24" s="471"/>
      <c r="G24" s="732"/>
    </row>
    <row r="25" spans="1:7" ht="8.25" customHeight="1">
      <c r="B25"/>
      <c r="C25" s="731"/>
      <c r="D25" s="471"/>
      <c r="E25" s="471"/>
      <c r="F25" s="471"/>
      <c r="G25" s="732"/>
    </row>
    <row r="26" spans="1:7" ht="14.25" customHeight="1">
      <c r="A26" s="611" t="s">
        <v>174</v>
      </c>
      <c r="B26" s="612" t="s">
        <v>180</v>
      </c>
      <c r="C26" s="736"/>
      <c r="D26" s="737"/>
      <c r="E26" s="737"/>
      <c r="F26" s="737"/>
      <c r="G26" s="738"/>
    </row>
    <row r="27" spans="1:7" ht="14.25" customHeight="1">
      <c r="A27" s="614" t="s">
        <v>181</v>
      </c>
      <c r="B27" s="615" t="s">
        <v>180</v>
      </c>
      <c r="C27" s="739"/>
      <c r="D27" s="740"/>
      <c r="E27" s="740"/>
      <c r="F27" s="740"/>
      <c r="G27" s="741"/>
    </row>
    <row r="28" spans="1:7" ht="14.25" customHeight="1">
      <c r="A28" s="614" t="s">
        <v>176</v>
      </c>
      <c r="B28" s="615" t="s">
        <v>180</v>
      </c>
      <c r="C28" s="739"/>
      <c r="D28" s="740"/>
      <c r="E28" s="740"/>
      <c r="F28" s="740"/>
      <c r="G28" s="741"/>
    </row>
    <row r="29" spans="1:7" ht="14.25" customHeight="1">
      <c r="A29" s="617" t="s">
        <v>177</v>
      </c>
      <c r="B29" s="618" t="s">
        <v>180</v>
      </c>
      <c r="C29" s="728"/>
      <c r="D29" s="729"/>
      <c r="E29" s="729"/>
      <c r="F29" s="729"/>
      <c r="G29" s="730"/>
    </row>
    <row r="30" spans="1:7" ht="14.25" customHeight="1">
      <c r="A30" s="620" t="s">
        <v>674</v>
      </c>
      <c r="B30" s="621" t="s">
        <v>180</v>
      </c>
      <c r="C30" s="742"/>
      <c r="D30" s="743"/>
      <c r="E30" s="743"/>
      <c r="F30" s="743"/>
      <c r="G30" s="744"/>
    </row>
    <row r="31" spans="1:7" ht="14.25" customHeight="1">
      <c r="B31"/>
      <c r="C31" s="731"/>
      <c r="D31" s="471"/>
      <c r="E31" s="471"/>
      <c r="F31" s="471"/>
      <c r="G31" s="732"/>
    </row>
    <row r="32" spans="1:7" ht="14.25" customHeight="1">
      <c r="A32" s="609" t="s">
        <v>182</v>
      </c>
      <c r="B32" s="622"/>
      <c r="C32" s="731"/>
      <c r="D32" s="471"/>
      <c r="E32" s="471"/>
      <c r="F32" s="471"/>
      <c r="G32" s="732"/>
    </row>
    <row r="33" spans="1:7" ht="8.25" customHeight="1">
      <c r="B33"/>
      <c r="C33" s="731"/>
      <c r="D33" s="471"/>
      <c r="E33" s="471"/>
      <c r="F33" s="471"/>
      <c r="G33" s="732"/>
    </row>
    <row r="34" spans="1:7" ht="14.25" customHeight="1">
      <c r="A34" s="611" t="s">
        <v>183</v>
      </c>
      <c r="B34" s="612" t="s">
        <v>164</v>
      </c>
      <c r="C34" s="736"/>
      <c r="D34" s="737"/>
      <c r="E34" s="737"/>
      <c r="F34" s="737"/>
      <c r="G34" s="738"/>
    </row>
    <row r="35" spans="1:7" ht="14.25" customHeight="1">
      <c r="A35" s="614" t="s">
        <v>184</v>
      </c>
      <c r="B35" s="615" t="s">
        <v>164</v>
      </c>
      <c r="C35" s="739"/>
      <c r="D35" s="740"/>
      <c r="E35" s="740"/>
      <c r="F35" s="740"/>
      <c r="G35" s="741"/>
    </row>
    <row r="36" spans="1:7" ht="14.25" customHeight="1">
      <c r="A36" s="617" t="s">
        <v>673</v>
      </c>
      <c r="B36" s="618" t="s">
        <v>164</v>
      </c>
      <c r="C36" s="728"/>
      <c r="D36" s="729"/>
      <c r="E36" s="729"/>
      <c r="F36" s="729"/>
      <c r="G36" s="730"/>
    </row>
    <row r="37" spans="1:7" ht="14.25" customHeight="1" thickBot="1">
      <c r="A37" s="620" t="s">
        <v>187</v>
      </c>
      <c r="B37" s="621" t="s">
        <v>164</v>
      </c>
      <c r="C37" s="745"/>
      <c r="D37" s="746"/>
      <c r="E37" s="746"/>
      <c r="F37" s="746"/>
      <c r="G37" s="747"/>
    </row>
    <row r="38" spans="1:7" ht="14.25" customHeight="1">
      <c r="C38" s="725"/>
      <c r="D38" s="725"/>
      <c r="E38" s="725"/>
      <c r="F38" s="725"/>
      <c r="G38" s="725"/>
    </row>
    <row r="39" spans="1:7" ht="14.25" customHeight="1">
      <c r="A39" s="609" t="s">
        <v>195</v>
      </c>
      <c r="B39" s="622"/>
      <c r="C39" s="725"/>
      <c r="D39" s="725"/>
      <c r="E39" s="725"/>
      <c r="F39" s="725"/>
      <c r="G39" s="725"/>
    </row>
    <row r="40" spans="1:7" ht="8.25" customHeight="1">
      <c r="B40"/>
      <c r="C40" s="725"/>
      <c r="D40" s="725"/>
      <c r="E40" s="725"/>
      <c r="F40" s="725"/>
      <c r="G40" s="725"/>
    </row>
    <row r="41" spans="1:7" ht="14.25" customHeight="1">
      <c r="A41" s="611" t="s">
        <v>189</v>
      </c>
      <c r="B41" s="612" t="s">
        <v>190</v>
      </c>
      <c r="C41" s="748"/>
      <c r="D41" s="748"/>
      <c r="E41" s="748"/>
      <c r="F41" s="748"/>
      <c r="G41" s="748"/>
    </row>
    <row r="42" spans="1:7" ht="14.25" customHeight="1">
      <c r="A42" s="614" t="s">
        <v>191</v>
      </c>
      <c r="B42" s="615" t="s">
        <v>190</v>
      </c>
      <c r="C42" s="740"/>
      <c r="D42" s="740"/>
      <c r="E42" s="740"/>
      <c r="F42" s="740"/>
      <c r="G42" s="740"/>
    </row>
    <row r="43" spans="1:7" ht="14.25" customHeight="1">
      <c r="A43" s="614" t="s">
        <v>98</v>
      </c>
      <c r="B43" s="615" t="s">
        <v>190</v>
      </c>
      <c r="C43" s="740"/>
      <c r="D43" s="740"/>
      <c r="E43" s="740"/>
      <c r="F43" s="740"/>
      <c r="G43" s="740"/>
    </row>
    <row r="44" spans="1:7" ht="14.25" customHeight="1">
      <c r="A44" s="614" t="s">
        <v>192</v>
      </c>
      <c r="B44" s="615" t="s">
        <v>190</v>
      </c>
      <c r="C44" s="740"/>
      <c r="D44" s="740"/>
      <c r="E44" s="740"/>
      <c r="F44" s="740"/>
      <c r="G44" s="740"/>
    </row>
    <row r="45" spans="1:7" ht="14.25" customHeight="1">
      <c r="A45" s="617" t="s">
        <v>100</v>
      </c>
      <c r="B45" s="618" t="s">
        <v>190</v>
      </c>
      <c r="C45" s="749"/>
      <c r="D45" s="749"/>
      <c r="E45" s="749"/>
      <c r="F45" s="749"/>
      <c r="G45" s="749"/>
    </row>
  </sheetData>
  <mergeCells count="2">
    <mergeCell ref="A1:C1"/>
    <mergeCell ref="C3:G3"/>
  </mergeCells>
  <pageMargins left="0.7" right="0.7" top="0.78740157499999996" bottom="0.78740157499999996" header="0.3" footer="0.3"/>
  <pageSetup paperSize="9" orientation="portrait" horizontalDpi="30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B408F-FA7E-48A7-B4DE-6F976883B3C0}">
  <dimension ref="A1:J205"/>
  <sheetViews>
    <sheetView workbookViewId="0">
      <selection sqref="A1:G1"/>
    </sheetView>
  </sheetViews>
  <sheetFormatPr baseColWidth="10" defaultColWidth="11.42578125" defaultRowHeight="14.1" customHeight="1"/>
  <cols>
    <col min="1" max="1" width="5.28515625" customWidth="1"/>
    <col min="2" max="2" width="16" customWidth="1"/>
    <col min="3" max="3" width="18" customWidth="1"/>
    <col min="4" max="4" width="17.42578125" customWidth="1"/>
    <col min="5" max="5" width="19.28515625" customWidth="1"/>
    <col min="6" max="6" width="18.85546875" customWidth="1"/>
    <col min="7" max="7" width="16" customWidth="1"/>
    <col min="8" max="8" width="18.42578125" customWidth="1"/>
    <col min="10" max="10" width="22" bestFit="1" customWidth="1"/>
  </cols>
  <sheetData>
    <row r="1" spans="1:10" ht="14.1" customHeight="1">
      <c r="A1" s="1025" t="s">
        <v>196</v>
      </c>
      <c r="B1" s="1025"/>
      <c r="C1" s="1025"/>
      <c r="D1" s="1025"/>
      <c r="E1" s="1025"/>
      <c r="F1" s="1025"/>
      <c r="G1" s="1025"/>
    </row>
    <row r="3" spans="1:10" ht="14.1" customHeight="1">
      <c r="A3" s="1027" t="s">
        <v>197</v>
      </c>
      <c r="B3" s="1028" t="s">
        <v>198</v>
      </c>
      <c r="C3" s="1028"/>
      <c r="D3" s="1028"/>
      <c r="E3" s="1028"/>
      <c r="F3" s="1028"/>
      <c r="G3" s="1028" t="s">
        <v>199</v>
      </c>
      <c r="H3" s="1028"/>
    </row>
    <row r="4" spans="1:10" ht="52.5">
      <c r="A4" s="1027"/>
      <c r="B4" s="884" t="s">
        <v>626</v>
      </c>
      <c r="C4" s="884" t="s">
        <v>200</v>
      </c>
      <c r="D4" s="884" t="s">
        <v>201</v>
      </c>
      <c r="E4" s="884" t="s">
        <v>202</v>
      </c>
      <c r="F4" s="884" t="s">
        <v>203</v>
      </c>
      <c r="G4" s="884" t="s">
        <v>201</v>
      </c>
      <c r="H4" s="884" t="s">
        <v>203</v>
      </c>
    </row>
    <row r="5" spans="1:10" ht="14.1" customHeight="1">
      <c r="A5" s="885">
        <v>1</v>
      </c>
      <c r="B5" s="886">
        <f t="shared" ref="B5:B36" si="0">(1+Diskontrate)^(-A5)</f>
        <v>0.98039215686274506</v>
      </c>
      <c r="C5" s="938" t="str">
        <f>IF(Innendurchmesser="","",Traktionsenergie!$D$26*(Parameter!$C$197+A5*BahnstrompreisZunahmeJahr))</f>
        <v/>
      </c>
      <c r="D5" s="938" t="e">
        <f t="shared" ref="D5:D68" si="1">C5*B5</f>
        <v>#VALUE!</v>
      </c>
      <c r="E5" s="938">
        <f>IF(A5&lt;Parameter!$C$199*IF(Betriebsjahre&lt;&gt;"",Betriebsjahre,Betriebsjahre_Default),Traktionsenergie!$D$26*Parameter!$C$112*Parameter!$C$201/1000,Traktionsenergie!$D$26*Parameter!$C$113*Parameter!$C$201/1000)</f>
        <v>0</v>
      </c>
      <c r="F5" s="938">
        <f>E5*B5</f>
        <v>0</v>
      </c>
      <c r="G5" s="938" t="e">
        <f>SUM(D$5:D5)</f>
        <v>#VALUE!</v>
      </c>
      <c r="H5" s="938">
        <f>SUM(F$5:F5)</f>
        <v>0</v>
      </c>
    </row>
    <row r="6" spans="1:10" ht="14.1" customHeight="1">
      <c r="A6" s="885">
        <v>2</v>
      </c>
      <c r="B6" s="886">
        <f t="shared" si="0"/>
        <v>0.96116878123798544</v>
      </c>
      <c r="C6" s="938" t="str">
        <f>IF(Innendurchmesser="","",Traktionsenergie!$D$26*(Parameter!$C$197+A6*BahnstrompreisZunahmeJahr))</f>
        <v/>
      </c>
      <c r="D6" s="938" t="e">
        <f t="shared" si="1"/>
        <v>#VALUE!</v>
      </c>
      <c r="E6" s="938">
        <f>IF(A6&lt;Parameter!$C$199*IF(Betriebsjahre&lt;&gt;"",Betriebsjahre,Betriebsjahre_Default),Traktionsenergie!$D$26*Parameter!$C$112*Parameter!$C$201/1000,Traktionsenergie!$D$26*Parameter!$C$113*Parameter!$C$201/1000)</f>
        <v>0</v>
      </c>
      <c r="F6" s="938">
        <f t="shared" ref="F6:F69" si="2">E6*B6</f>
        <v>0</v>
      </c>
      <c r="G6" s="938" t="e">
        <f>SUM(D$5:D6)</f>
        <v>#VALUE!</v>
      </c>
      <c r="H6" s="938">
        <f>SUM(F$5:F6)</f>
        <v>0</v>
      </c>
      <c r="J6" t="s">
        <v>204</v>
      </c>
    </row>
    <row r="7" spans="1:10" ht="14.1" customHeight="1">
      <c r="A7" s="885">
        <v>3</v>
      </c>
      <c r="B7" s="886">
        <f t="shared" si="0"/>
        <v>0.94232233454704462</v>
      </c>
      <c r="C7" s="938" t="str">
        <f>IF(Innendurchmesser="","",Traktionsenergie!$D$26*(Parameter!$C$197+A7*BahnstrompreisZunahmeJahr))</f>
        <v/>
      </c>
      <c r="D7" s="938" t="e">
        <f t="shared" si="1"/>
        <v>#VALUE!</v>
      </c>
      <c r="E7" s="938">
        <f>IF(A7&lt;Parameter!$C$199*IF(Betriebsjahre&lt;&gt;"",Betriebsjahre,Betriebsjahre_Default),Traktionsenergie!$D$26*Parameter!$C$112*Parameter!$C$201/1000,Traktionsenergie!$D$26*Parameter!$C$113*Parameter!$C$201/1000)</f>
        <v>0</v>
      </c>
      <c r="F7" s="938">
        <f t="shared" si="2"/>
        <v>0</v>
      </c>
      <c r="G7" s="938" t="e">
        <f>SUM(D$5:D7)</f>
        <v>#VALUE!</v>
      </c>
      <c r="H7" s="938">
        <f>SUM(F$5:F7)</f>
        <v>0</v>
      </c>
      <c r="J7" t="s">
        <v>627</v>
      </c>
    </row>
    <row r="8" spans="1:10" ht="14.1" customHeight="1">
      <c r="A8" s="885">
        <v>4</v>
      </c>
      <c r="B8" s="886">
        <f t="shared" si="0"/>
        <v>0.9238454260265142</v>
      </c>
      <c r="C8" s="938" t="str">
        <f>IF(Innendurchmesser="","",Traktionsenergie!$D$26*(Parameter!$C$197+A8*BahnstrompreisZunahmeJahr))</f>
        <v/>
      </c>
      <c r="D8" s="938" t="e">
        <f t="shared" si="1"/>
        <v>#VALUE!</v>
      </c>
      <c r="E8" s="938">
        <f>IF(A8&lt;Parameter!$C$199*IF(Betriebsjahre&lt;&gt;"",Betriebsjahre,Betriebsjahre_Default),Traktionsenergie!$D$26*Parameter!$C$112*Parameter!$C$201/1000,Traktionsenergie!$D$26*Parameter!$C$113*Parameter!$C$201/1000)</f>
        <v>0</v>
      </c>
      <c r="F8" s="938">
        <f t="shared" si="2"/>
        <v>0</v>
      </c>
      <c r="G8" s="938" t="e">
        <f>SUM(D$5:D8)</f>
        <v>#VALUE!</v>
      </c>
      <c r="H8" s="938">
        <f>SUM(F$5:F8)</f>
        <v>0</v>
      </c>
      <c r="J8" t="s">
        <v>628</v>
      </c>
    </row>
    <row r="9" spans="1:10" ht="14.1" customHeight="1">
      <c r="A9" s="885">
        <v>5</v>
      </c>
      <c r="B9" s="886">
        <f t="shared" si="0"/>
        <v>0.90573080982991594</v>
      </c>
      <c r="C9" s="938" t="str">
        <f>IF(Innendurchmesser="","",Traktionsenergie!$D$26*(Parameter!$C$197+A9*BahnstrompreisZunahmeJahr))</f>
        <v/>
      </c>
      <c r="D9" s="938" t="e">
        <f t="shared" si="1"/>
        <v>#VALUE!</v>
      </c>
      <c r="E9" s="938">
        <f>IF(A9&lt;Parameter!$C$199*IF(Betriebsjahre&lt;&gt;"",Betriebsjahre,Betriebsjahre_Default),Traktionsenergie!$D$26*Parameter!$C$112*Parameter!$C$201/1000,Traktionsenergie!$D$26*Parameter!$C$113*Parameter!$C$201/1000)</f>
        <v>0</v>
      </c>
      <c r="F9" s="938">
        <f t="shared" si="2"/>
        <v>0</v>
      </c>
      <c r="G9" s="938" t="e">
        <f>SUM(D$5:D9)</f>
        <v>#VALUE!</v>
      </c>
      <c r="H9" s="938">
        <f>SUM(F$5:F9)</f>
        <v>0</v>
      </c>
      <c r="J9" t="s">
        <v>629</v>
      </c>
    </row>
    <row r="10" spans="1:10" ht="14.1" customHeight="1">
      <c r="A10" s="885">
        <v>6</v>
      </c>
      <c r="B10" s="886">
        <f t="shared" si="0"/>
        <v>0.88797138218619198</v>
      </c>
      <c r="C10" s="938" t="str">
        <f>IF(Innendurchmesser="","",Traktionsenergie!$D$26*(Parameter!$C$197+A10*BahnstrompreisZunahmeJahr))</f>
        <v/>
      </c>
      <c r="D10" s="938" t="e">
        <f t="shared" si="1"/>
        <v>#VALUE!</v>
      </c>
      <c r="E10" s="938">
        <f>IF(A10&lt;Parameter!$C$199*IF(Betriebsjahre&lt;&gt;"",Betriebsjahre,Betriebsjahre_Default),Traktionsenergie!$D$26*Parameter!$C$112*Parameter!$C$201/1000,Traktionsenergie!$D$26*Parameter!$C$113*Parameter!$C$201/1000)</f>
        <v>0</v>
      </c>
      <c r="F10" s="938">
        <f t="shared" si="2"/>
        <v>0</v>
      </c>
      <c r="G10" s="938" t="e">
        <f>SUM(D$5:D10)</f>
        <v>#VALUE!</v>
      </c>
      <c r="H10" s="938">
        <f>SUM(F$5:F10)</f>
        <v>0</v>
      </c>
    </row>
    <row r="11" spans="1:10" ht="14.1" customHeight="1">
      <c r="A11" s="885">
        <v>7</v>
      </c>
      <c r="B11" s="886">
        <f t="shared" si="0"/>
        <v>0.87056017861391388</v>
      </c>
      <c r="C11" s="938" t="str">
        <f>IF(Innendurchmesser="","",Traktionsenergie!$D$26*(Parameter!$C$197+A11*BahnstrompreisZunahmeJahr))</f>
        <v/>
      </c>
      <c r="D11" s="938" t="e">
        <f t="shared" si="1"/>
        <v>#VALUE!</v>
      </c>
      <c r="E11" s="938">
        <f>IF(A11&lt;Parameter!$C$199*IF(Betriebsjahre&lt;&gt;"",Betriebsjahre,Betriebsjahre_Default),Traktionsenergie!$D$26*Parameter!$C$112*Parameter!$C$201/1000,Traktionsenergie!$D$26*Parameter!$C$113*Parameter!$C$201/1000)</f>
        <v>0</v>
      </c>
      <c r="F11" s="938">
        <f t="shared" si="2"/>
        <v>0</v>
      </c>
      <c r="G11" s="938" t="e">
        <f>SUM(D$5:D11)</f>
        <v>#VALUE!</v>
      </c>
      <c r="H11" s="938">
        <f>SUM(F$5:F11)</f>
        <v>0</v>
      </c>
    </row>
    <row r="12" spans="1:10" ht="14.1" customHeight="1">
      <c r="A12" s="885">
        <v>8</v>
      </c>
      <c r="B12" s="886">
        <f t="shared" si="0"/>
        <v>0.85349037119011162</v>
      </c>
      <c r="C12" s="938" t="str">
        <f>IF(Innendurchmesser="","",Traktionsenergie!$D$26*(Parameter!$C$197+A12*BahnstrompreisZunahmeJahr))</f>
        <v/>
      </c>
      <c r="D12" s="938" t="e">
        <f t="shared" si="1"/>
        <v>#VALUE!</v>
      </c>
      <c r="E12" s="938">
        <f>IF(A12&lt;Parameter!$C$199*IF(Betriebsjahre&lt;&gt;"",Betriebsjahre,Betriebsjahre_Default),Traktionsenergie!$D$26*Parameter!$C$112*Parameter!$C$201/1000,Traktionsenergie!$D$26*Parameter!$C$113*Parameter!$C$201/1000)</f>
        <v>0</v>
      </c>
      <c r="F12" s="938">
        <f t="shared" si="2"/>
        <v>0</v>
      </c>
      <c r="G12" s="938" t="e">
        <f>SUM(D$5:D12)</f>
        <v>#VALUE!</v>
      </c>
      <c r="H12" s="938">
        <f>SUM(F$5:F12)</f>
        <v>0</v>
      </c>
    </row>
    <row r="13" spans="1:10" ht="14.1" customHeight="1">
      <c r="A13" s="885">
        <v>9</v>
      </c>
      <c r="B13" s="886">
        <f t="shared" si="0"/>
        <v>0.83675526587265847</v>
      </c>
      <c r="C13" s="938" t="str">
        <f>IF(Innendurchmesser="","",Traktionsenergie!$D$26*(Parameter!$C$197+A13*BahnstrompreisZunahmeJahr))</f>
        <v/>
      </c>
      <c r="D13" s="938" t="e">
        <f t="shared" si="1"/>
        <v>#VALUE!</v>
      </c>
      <c r="E13" s="938">
        <f>IF(A13&lt;Parameter!$C$199*IF(Betriebsjahre&lt;&gt;"",Betriebsjahre,Betriebsjahre_Default),Traktionsenergie!$D$26*Parameter!$C$112*Parameter!$C$201/1000,Traktionsenergie!$D$26*Parameter!$C$113*Parameter!$C$201/1000)</f>
        <v>0</v>
      </c>
      <c r="F13" s="938">
        <f t="shared" si="2"/>
        <v>0</v>
      </c>
      <c r="G13" s="938" t="e">
        <f>SUM(D$5:D13)</f>
        <v>#VALUE!</v>
      </c>
      <c r="H13" s="938">
        <f>SUM(F$5:F13)</f>
        <v>0</v>
      </c>
    </row>
    <row r="14" spans="1:10" ht="14.1" customHeight="1">
      <c r="A14" s="885">
        <v>10</v>
      </c>
      <c r="B14" s="886">
        <f t="shared" si="0"/>
        <v>0.82034829987515534</v>
      </c>
      <c r="C14" s="938" t="str">
        <f>IF(Innendurchmesser="","",Traktionsenergie!$D$26*(Parameter!$C$197+A14*BahnstrompreisZunahmeJahr))</f>
        <v/>
      </c>
      <c r="D14" s="938" t="e">
        <f t="shared" si="1"/>
        <v>#VALUE!</v>
      </c>
      <c r="E14" s="938">
        <f>IF(A14&lt;Parameter!$C$199*IF(Betriebsjahre&lt;&gt;"",Betriebsjahre,Betriebsjahre_Default),Traktionsenergie!$D$26*Parameter!$C$112*Parameter!$C$201/1000,Traktionsenergie!$D$26*Parameter!$C$113*Parameter!$C$201/1000)</f>
        <v>0</v>
      </c>
      <c r="F14" s="938">
        <f t="shared" si="2"/>
        <v>0</v>
      </c>
      <c r="G14" s="938" t="e">
        <f>SUM(D$5:D14)</f>
        <v>#VALUE!</v>
      </c>
      <c r="H14" s="938">
        <f>SUM(F$5:F14)</f>
        <v>0</v>
      </c>
    </row>
    <row r="15" spans="1:10" ht="14.1" customHeight="1">
      <c r="A15" s="885">
        <v>11</v>
      </c>
      <c r="B15" s="886">
        <f t="shared" si="0"/>
        <v>0.80426303909328967</v>
      </c>
      <c r="C15" s="938" t="str">
        <f>IF(Innendurchmesser="","",Traktionsenergie!$D$26*(Parameter!$C$197+A15*BahnstrompreisZunahmeJahr))</f>
        <v/>
      </c>
      <c r="D15" s="938" t="e">
        <f t="shared" si="1"/>
        <v>#VALUE!</v>
      </c>
      <c r="E15" s="938">
        <f>IF(A15&lt;Parameter!$C$199*IF(Betriebsjahre&lt;&gt;"",Betriebsjahre,Betriebsjahre_Default),Traktionsenergie!$D$26*Parameter!$C$112*Parameter!$C$201/1000,Traktionsenergie!$D$26*Parameter!$C$113*Parameter!$C$201/1000)</f>
        <v>0</v>
      </c>
      <c r="F15" s="938">
        <f t="shared" si="2"/>
        <v>0</v>
      </c>
      <c r="G15" s="938" t="e">
        <f>SUM(D$5:D15)</f>
        <v>#VALUE!</v>
      </c>
      <c r="H15" s="938">
        <f>SUM(F$5:F15)</f>
        <v>0</v>
      </c>
    </row>
    <row r="16" spans="1:10" ht="14.1" customHeight="1">
      <c r="A16" s="885">
        <v>12</v>
      </c>
      <c r="B16" s="886">
        <f t="shared" si="0"/>
        <v>0.78849317558165644</v>
      </c>
      <c r="C16" s="938" t="str">
        <f>IF(Innendurchmesser="","",Traktionsenergie!$D$26*(Parameter!$C$197+A16*BahnstrompreisZunahmeJahr))</f>
        <v/>
      </c>
      <c r="D16" s="938" t="e">
        <f t="shared" si="1"/>
        <v>#VALUE!</v>
      </c>
      <c r="E16" s="938">
        <f>IF(A16&lt;Parameter!$C$199*IF(Betriebsjahre&lt;&gt;"",Betriebsjahre,Betriebsjahre_Default),Traktionsenergie!$D$26*Parameter!$C$112*Parameter!$C$201/1000,Traktionsenergie!$D$26*Parameter!$C$113*Parameter!$C$201/1000)</f>
        <v>0</v>
      </c>
      <c r="F16" s="938">
        <f t="shared" si="2"/>
        <v>0</v>
      </c>
      <c r="G16" s="938" t="e">
        <f>SUM(D$5:D16)</f>
        <v>#VALUE!</v>
      </c>
      <c r="H16" s="938">
        <f>SUM(F$5:F16)</f>
        <v>0</v>
      </c>
    </row>
    <row r="17" spans="1:8" ht="14.1" customHeight="1">
      <c r="A17" s="885">
        <v>13</v>
      </c>
      <c r="B17" s="886">
        <f t="shared" si="0"/>
        <v>0.77303252508005538</v>
      </c>
      <c r="C17" s="938" t="str">
        <f>IF(Innendurchmesser="","",Traktionsenergie!$D$26*(Parameter!$C$197+A17*BahnstrompreisZunahmeJahr))</f>
        <v/>
      </c>
      <c r="D17" s="938" t="e">
        <f t="shared" si="1"/>
        <v>#VALUE!</v>
      </c>
      <c r="E17" s="938">
        <f>IF(A17&lt;Parameter!$C$199*IF(Betriebsjahre&lt;&gt;"",Betriebsjahre,Betriebsjahre_Default),Traktionsenergie!$D$26*Parameter!$C$112*Parameter!$C$201/1000,Traktionsenergie!$D$26*Parameter!$C$113*Parameter!$C$201/1000)</f>
        <v>0</v>
      </c>
      <c r="F17" s="938">
        <f t="shared" si="2"/>
        <v>0</v>
      </c>
      <c r="G17" s="938" t="e">
        <f>SUM(D$5:D17)</f>
        <v>#VALUE!</v>
      </c>
      <c r="H17" s="938">
        <f>SUM(F$5:F17)</f>
        <v>0</v>
      </c>
    </row>
    <row r="18" spans="1:8" ht="14.1" customHeight="1">
      <c r="A18" s="885">
        <v>14</v>
      </c>
      <c r="B18" s="886">
        <f t="shared" si="0"/>
        <v>0.75787502458828948</v>
      </c>
      <c r="C18" s="938" t="str">
        <f>IF(Innendurchmesser="","",Traktionsenergie!$D$26*(Parameter!$C$197+A18*BahnstrompreisZunahmeJahr))</f>
        <v/>
      </c>
      <c r="D18" s="938" t="e">
        <f t="shared" si="1"/>
        <v>#VALUE!</v>
      </c>
      <c r="E18" s="938">
        <f>IF(A18&lt;Parameter!$C$199*IF(Betriebsjahre&lt;&gt;"",Betriebsjahre,Betriebsjahre_Default),Traktionsenergie!$D$26*Parameter!$C$112*Parameter!$C$201/1000,Traktionsenergie!$D$26*Parameter!$C$113*Parameter!$C$201/1000)</f>
        <v>0</v>
      </c>
      <c r="F18" s="938">
        <f t="shared" si="2"/>
        <v>0</v>
      </c>
      <c r="G18" s="938" t="e">
        <f>SUM(D$5:D18)</f>
        <v>#VALUE!</v>
      </c>
      <c r="H18" s="938">
        <f>SUM(F$5:F18)</f>
        <v>0</v>
      </c>
    </row>
    <row r="19" spans="1:8" ht="14.1" customHeight="1">
      <c r="A19" s="885">
        <v>15</v>
      </c>
      <c r="B19" s="886">
        <f t="shared" si="0"/>
        <v>0.74301472998851925</v>
      </c>
      <c r="C19" s="938" t="str">
        <f>IF(Innendurchmesser="","",Traktionsenergie!$D$26*(Parameter!$C$197+A19*BahnstrompreisZunahmeJahr))</f>
        <v/>
      </c>
      <c r="D19" s="938" t="e">
        <f t="shared" si="1"/>
        <v>#VALUE!</v>
      </c>
      <c r="E19" s="938">
        <f>IF(A19&lt;Parameter!$C$199*IF(Betriebsjahre&lt;&gt;"",Betriebsjahre,Betriebsjahre_Default),Traktionsenergie!$D$26*Parameter!$C$112*Parameter!$C$201/1000,Traktionsenergie!$D$26*Parameter!$C$113*Parameter!$C$201/1000)</f>
        <v>0</v>
      </c>
      <c r="F19" s="938">
        <f t="shared" si="2"/>
        <v>0</v>
      </c>
      <c r="G19" s="938" t="e">
        <f>SUM(D$5:D19)</f>
        <v>#VALUE!</v>
      </c>
      <c r="H19" s="938">
        <f>SUM(F$5:F19)</f>
        <v>0</v>
      </c>
    </row>
    <row r="20" spans="1:8" ht="14.1" customHeight="1">
      <c r="A20" s="885">
        <v>16</v>
      </c>
      <c r="B20" s="886">
        <f t="shared" si="0"/>
        <v>0.72844581371423445</v>
      </c>
      <c r="C20" s="938" t="str">
        <f>IF(Innendurchmesser="","",Traktionsenergie!$D$26*(Parameter!$C$197+A20*BahnstrompreisZunahmeJahr))</f>
        <v/>
      </c>
      <c r="D20" s="938" t="e">
        <f t="shared" si="1"/>
        <v>#VALUE!</v>
      </c>
      <c r="E20" s="938">
        <f>IF(A20&lt;Parameter!$C$199*IF(Betriebsjahre&lt;&gt;"",Betriebsjahre,Betriebsjahre_Default),Traktionsenergie!$D$26*Parameter!$C$112*Parameter!$C$201/1000,Traktionsenergie!$D$26*Parameter!$C$113*Parameter!$C$201/1000)</f>
        <v>0</v>
      </c>
      <c r="F20" s="938">
        <f t="shared" si="2"/>
        <v>0</v>
      </c>
      <c r="G20" s="938" t="e">
        <f>SUM(D$5:D20)</f>
        <v>#VALUE!</v>
      </c>
      <c r="H20" s="938">
        <f>SUM(F$5:F20)</f>
        <v>0</v>
      </c>
    </row>
    <row r="21" spans="1:8" ht="14.1" customHeight="1">
      <c r="A21" s="885">
        <v>17</v>
      </c>
      <c r="B21" s="886">
        <f t="shared" si="0"/>
        <v>0.7141625624649357</v>
      </c>
      <c r="C21" s="938" t="str">
        <f>IF(Innendurchmesser="","",Traktionsenergie!$D$26*(Parameter!$C$197+A21*BahnstrompreisZunahmeJahr))</f>
        <v/>
      </c>
      <c r="D21" s="938" t="e">
        <f t="shared" si="1"/>
        <v>#VALUE!</v>
      </c>
      <c r="E21" s="938">
        <f>IF(A21&lt;Parameter!$C$199*IF(Betriebsjahre&lt;&gt;"",Betriebsjahre,Betriebsjahre_Default),Traktionsenergie!$D$26*Parameter!$C$112*Parameter!$C$201/1000,Traktionsenergie!$D$26*Parameter!$C$113*Parameter!$C$201/1000)</f>
        <v>0</v>
      </c>
      <c r="F21" s="938">
        <f t="shared" si="2"/>
        <v>0</v>
      </c>
      <c r="G21" s="938" t="e">
        <f>SUM(D$5:D21)</f>
        <v>#VALUE!</v>
      </c>
      <c r="H21" s="938">
        <f>SUM(F$5:F21)</f>
        <v>0</v>
      </c>
    </row>
    <row r="22" spans="1:8" ht="14.1" customHeight="1">
      <c r="A22" s="885">
        <v>18</v>
      </c>
      <c r="B22" s="886">
        <f t="shared" si="0"/>
        <v>0.7001593749656233</v>
      </c>
      <c r="C22" s="938" t="str">
        <f>IF(Innendurchmesser="","",Traktionsenergie!$D$26*(Parameter!$C$197+A22*BahnstrompreisZunahmeJahr))</f>
        <v/>
      </c>
      <c r="D22" s="938" t="e">
        <f t="shared" si="1"/>
        <v>#VALUE!</v>
      </c>
      <c r="E22" s="938">
        <f>IF(A22&lt;Parameter!$C$199*IF(Betriebsjahre&lt;&gt;"",Betriebsjahre,Betriebsjahre_Default),Traktionsenergie!$D$26*Parameter!$C$112*Parameter!$C$201/1000,Traktionsenergie!$D$26*Parameter!$C$113*Parameter!$C$201/1000)</f>
        <v>0</v>
      </c>
      <c r="F22" s="938">
        <f t="shared" si="2"/>
        <v>0</v>
      </c>
      <c r="G22" s="938" t="e">
        <f>SUM(D$5:D22)</f>
        <v>#VALUE!</v>
      </c>
      <c r="H22" s="938">
        <f>SUM(F$5:F22)</f>
        <v>0</v>
      </c>
    </row>
    <row r="23" spans="1:8" ht="14.1" customHeight="1">
      <c r="A23" s="885">
        <v>19</v>
      </c>
      <c r="B23" s="886">
        <f t="shared" si="0"/>
        <v>0.68643075977021895</v>
      </c>
      <c r="C23" s="938" t="str">
        <f>IF(Innendurchmesser="","",Traktionsenergie!$D$26*(Parameter!$C$197+A23*BahnstrompreisZunahmeJahr))</f>
        <v/>
      </c>
      <c r="D23" s="938" t="e">
        <f t="shared" si="1"/>
        <v>#VALUE!</v>
      </c>
      <c r="E23" s="938">
        <f>IF(A23&lt;Parameter!$C$199*IF(Betriebsjahre&lt;&gt;"",Betriebsjahre,Betriebsjahre_Default),Traktionsenergie!$D$26*Parameter!$C$112*Parameter!$C$201/1000,Traktionsenergie!$D$26*Parameter!$C$113*Parameter!$C$201/1000)</f>
        <v>0</v>
      </c>
      <c r="F23" s="938">
        <f t="shared" si="2"/>
        <v>0</v>
      </c>
      <c r="G23" s="938" t="e">
        <f>SUM(D$5:D23)</f>
        <v>#VALUE!</v>
      </c>
      <c r="H23" s="938">
        <f>SUM(F$5:F23)</f>
        <v>0</v>
      </c>
    </row>
    <row r="24" spans="1:8" ht="14.1" customHeight="1">
      <c r="A24" s="885">
        <v>20</v>
      </c>
      <c r="B24" s="886">
        <f t="shared" si="0"/>
        <v>0.67297133310805779</v>
      </c>
      <c r="C24" s="938" t="str">
        <f>IF(Innendurchmesser="","",Traktionsenergie!$D$26*(Parameter!$C$197+A24*BahnstrompreisZunahmeJahr))</f>
        <v/>
      </c>
      <c r="D24" s="938" t="e">
        <f t="shared" si="1"/>
        <v>#VALUE!</v>
      </c>
      <c r="E24" s="938">
        <f>IF(A24&lt;Parameter!$C$199*IF(Betriebsjahre&lt;&gt;"",Betriebsjahre,Betriebsjahre_Default),Traktionsenergie!$D$26*Parameter!$C$112*Parameter!$C$201/1000,Traktionsenergie!$D$26*Parameter!$C$113*Parameter!$C$201/1000)</f>
        <v>0</v>
      </c>
      <c r="F24" s="938">
        <f t="shared" si="2"/>
        <v>0</v>
      </c>
      <c r="G24" s="938" t="e">
        <f>SUM(D$5:D24)</f>
        <v>#VALUE!</v>
      </c>
      <c r="H24" s="938">
        <f>SUM(F$5:F24)</f>
        <v>0</v>
      </c>
    </row>
    <row r="25" spans="1:8" ht="14.1" customHeight="1">
      <c r="A25" s="885">
        <v>21</v>
      </c>
      <c r="B25" s="886">
        <f t="shared" si="0"/>
        <v>0.65977581677260566</v>
      </c>
      <c r="C25" s="938" t="str">
        <f>IF(Innendurchmesser="","",Traktionsenergie!$D$26*(Parameter!$C$197+A25*BahnstrompreisZunahmeJahr))</f>
        <v/>
      </c>
      <c r="D25" s="938" t="e">
        <f t="shared" si="1"/>
        <v>#VALUE!</v>
      </c>
      <c r="E25" s="938">
        <f>IF(A25&lt;Parameter!$C$199*IF(Betriebsjahre&lt;&gt;"",Betriebsjahre,Betriebsjahre_Default),Traktionsenergie!$D$26*Parameter!$C$112*Parameter!$C$201/1000,Traktionsenergie!$D$26*Parameter!$C$113*Parameter!$C$201/1000)</f>
        <v>0</v>
      </c>
      <c r="F25" s="938">
        <f t="shared" si="2"/>
        <v>0</v>
      </c>
      <c r="G25" s="938" t="e">
        <f>SUM(D$5:D25)</f>
        <v>#VALUE!</v>
      </c>
      <c r="H25" s="938">
        <f>SUM(F$5:F25)</f>
        <v>0</v>
      </c>
    </row>
    <row r="26" spans="1:8" ht="14.1" customHeight="1">
      <c r="A26" s="885">
        <v>22</v>
      </c>
      <c r="B26" s="886">
        <f t="shared" si="0"/>
        <v>0.64683903605157411</v>
      </c>
      <c r="C26" s="938" t="str">
        <f>IF(Innendurchmesser="","",Traktionsenergie!$D$26*(Parameter!$C$197+A26*BahnstrompreisZunahmeJahr))</f>
        <v/>
      </c>
      <c r="D26" s="938" t="e">
        <f t="shared" si="1"/>
        <v>#VALUE!</v>
      </c>
      <c r="E26" s="938">
        <f>IF(A26&lt;Parameter!$C$199*IF(Betriebsjahre&lt;&gt;"",Betriebsjahre,Betriebsjahre_Default),Traktionsenergie!$D$26*Parameter!$C$112*Parameter!$C$201/1000,Traktionsenergie!$D$26*Parameter!$C$113*Parameter!$C$201/1000)</f>
        <v>0</v>
      </c>
      <c r="F26" s="938">
        <f t="shared" si="2"/>
        <v>0</v>
      </c>
      <c r="G26" s="938" t="e">
        <f>SUM(D$5:D26)</f>
        <v>#VALUE!</v>
      </c>
      <c r="H26" s="938">
        <f>SUM(F$5:F26)</f>
        <v>0</v>
      </c>
    </row>
    <row r="27" spans="1:8" ht="14.1" customHeight="1">
      <c r="A27" s="885">
        <v>23</v>
      </c>
      <c r="B27" s="886">
        <f t="shared" si="0"/>
        <v>0.63415591769762181</v>
      </c>
      <c r="C27" s="938" t="str">
        <f>IF(Innendurchmesser="","",Traktionsenergie!$D$26*(Parameter!$C$197+A27*BahnstrompreisZunahmeJahr))</f>
        <v/>
      </c>
      <c r="D27" s="938" t="e">
        <f t="shared" si="1"/>
        <v>#VALUE!</v>
      </c>
      <c r="E27" s="938">
        <f>IF(A27&lt;Parameter!$C$199*IF(Betriebsjahre&lt;&gt;"",Betriebsjahre,Betriebsjahre_Default),Traktionsenergie!$D$26*Parameter!$C$112*Parameter!$C$201/1000,Traktionsenergie!$D$26*Parameter!$C$113*Parameter!$C$201/1000)</f>
        <v>0</v>
      </c>
      <c r="F27" s="938">
        <f t="shared" si="2"/>
        <v>0</v>
      </c>
      <c r="G27" s="938" t="e">
        <f>SUM(D$5:D27)</f>
        <v>#VALUE!</v>
      </c>
      <c r="H27" s="938">
        <f>SUM(F$5:F27)</f>
        <v>0</v>
      </c>
    </row>
    <row r="28" spans="1:8" ht="14.1" customHeight="1">
      <c r="A28" s="885">
        <v>24</v>
      </c>
      <c r="B28" s="886">
        <f t="shared" si="0"/>
        <v>0.62172148793884485</v>
      </c>
      <c r="C28" s="938" t="str">
        <f>IF(Innendurchmesser="","",Traktionsenergie!$D$26*(Parameter!$C$197+A28*BahnstrompreisZunahmeJahr))</f>
        <v/>
      </c>
      <c r="D28" s="938" t="e">
        <f t="shared" si="1"/>
        <v>#VALUE!</v>
      </c>
      <c r="E28" s="938">
        <f>IF(A28&lt;Parameter!$C$199*IF(Betriebsjahre&lt;&gt;"",Betriebsjahre,Betriebsjahre_Default),Traktionsenergie!$D$26*Parameter!$C$112*Parameter!$C$201/1000,Traktionsenergie!$D$26*Parameter!$C$113*Parameter!$C$201/1000)</f>
        <v>0</v>
      </c>
      <c r="F28" s="938">
        <f t="shared" si="2"/>
        <v>0</v>
      </c>
      <c r="G28" s="938" t="e">
        <f>SUM(D$5:D28)</f>
        <v>#VALUE!</v>
      </c>
      <c r="H28" s="938">
        <f>SUM(F$5:F28)</f>
        <v>0</v>
      </c>
    </row>
    <row r="29" spans="1:8" ht="14.1" customHeight="1">
      <c r="A29" s="885">
        <v>25</v>
      </c>
      <c r="B29" s="886">
        <f t="shared" si="0"/>
        <v>0.60953087052827937</v>
      </c>
      <c r="C29" s="938" t="str">
        <f>IF(Innendurchmesser="","",Traktionsenergie!$D$26*(Parameter!$C$197+A29*BahnstrompreisZunahmeJahr))</f>
        <v/>
      </c>
      <c r="D29" s="938" t="e">
        <f t="shared" si="1"/>
        <v>#VALUE!</v>
      </c>
      <c r="E29" s="938">
        <f>IF(A29&lt;Parameter!$C$199*IF(Betriebsjahre&lt;&gt;"",Betriebsjahre,Betriebsjahre_Default),Traktionsenergie!$D$26*Parameter!$C$112*Parameter!$C$201/1000,Traktionsenergie!$D$26*Parameter!$C$113*Parameter!$C$201/1000)</f>
        <v>0</v>
      </c>
      <c r="F29" s="938">
        <f t="shared" si="2"/>
        <v>0</v>
      </c>
      <c r="G29" s="938" t="e">
        <f>SUM(D$5:D29)</f>
        <v>#VALUE!</v>
      </c>
      <c r="H29" s="938">
        <f>SUM(F$5:F29)</f>
        <v>0</v>
      </c>
    </row>
    <row r="30" spans="1:8" ht="14.1" customHeight="1">
      <c r="A30" s="885">
        <v>26</v>
      </c>
      <c r="B30" s="886">
        <f t="shared" si="0"/>
        <v>0.59757928483164635</v>
      </c>
      <c r="C30" s="938" t="str">
        <f>IF(Innendurchmesser="","",Traktionsenergie!$D$26*(Parameter!$C$197+A30*BahnstrompreisZunahmeJahr))</f>
        <v/>
      </c>
      <c r="D30" s="938" t="e">
        <f t="shared" si="1"/>
        <v>#VALUE!</v>
      </c>
      <c r="E30" s="938">
        <f>IF(A30&lt;Parameter!$C$199*IF(Betriebsjahre&lt;&gt;"",Betriebsjahre,Betriebsjahre_Default),Traktionsenergie!$D$26*Parameter!$C$112*Parameter!$C$201/1000,Traktionsenergie!$D$26*Parameter!$C$113*Parameter!$C$201/1000)</f>
        <v>0</v>
      </c>
      <c r="F30" s="938">
        <f t="shared" si="2"/>
        <v>0</v>
      </c>
      <c r="G30" s="938" t="e">
        <f>SUM(D$5:D30)</f>
        <v>#VALUE!</v>
      </c>
      <c r="H30" s="938">
        <f>SUM(F$5:F30)</f>
        <v>0</v>
      </c>
    </row>
    <row r="31" spans="1:8" ht="14.1" customHeight="1">
      <c r="A31" s="885">
        <v>27</v>
      </c>
      <c r="B31" s="886">
        <f t="shared" si="0"/>
        <v>0.58586204395259456</v>
      </c>
      <c r="C31" s="938" t="str">
        <f>IF(Innendurchmesser="","",Traktionsenergie!$D$26*(Parameter!$C$197+A31*BahnstrompreisZunahmeJahr))</f>
        <v/>
      </c>
      <c r="D31" s="938" t="e">
        <f t="shared" si="1"/>
        <v>#VALUE!</v>
      </c>
      <c r="E31" s="938">
        <f>IF(A31&lt;Parameter!$C$199*IF(Betriebsjahre&lt;&gt;"",Betriebsjahre,Betriebsjahre_Default),Traktionsenergie!$D$26*Parameter!$C$112*Parameter!$C$201/1000,Traktionsenergie!$D$26*Parameter!$C$113*Parameter!$C$201/1000)</f>
        <v>0</v>
      </c>
      <c r="F31" s="938">
        <f t="shared" si="2"/>
        <v>0</v>
      </c>
      <c r="G31" s="938" t="e">
        <f>SUM(D$5:D31)</f>
        <v>#VALUE!</v>
      </c>
      <c r="H31" s="938">
        <f>SUM(F$5:F31)</f>
        <v>0</v>
      </c>
    </row>
    <row r="32" spans="1:8" ht="14.1" customHeight="1">
      <c r="A32" s="885">
        <v>28</v>
      </c>
      <c r="B32" s="886">
        <f t="shared" si="0"/>
        <v>0.57437455289470041</v>
      </c>
      <c r="C32" s="938" t="str">
        <f>IF(Innendurchmesser="","",Traktionsenergie!$D$26*(Parameter!$C$197+A32*BahnstrompreisZunahmeJahr))</f>
        <v/>
      </c>
      <c r="D32" s="938" t="e">
        <f t="shared" si="1"/>
        <v>#VALUE!</v>
      </c>
      <c r="E32" s="938">
        <f>IF(A32&lt;Parameter!$C$199*IF(Betriebsjahre&lt;&gt;"",Betriebsjahre,Betriebsjahre_Default),Traktionsenergie!$D$26*Parameter!$C$112*Parameter!$C$201/1000,Traktionsenergie!$D$26*Parameter!$C$113*Parameter!$C$201/1000)</f>
        <v>0</v>
      </c>
      <c r="F32" s="938">
        <f t="shared" si="2"/>
        <v>0</v>
      </c>
      <c r="G32" s="938" t="e">
        <f>SUM(D$5:D32)</f>
        <v>#VALUE!</v>
      </c>
      <c r="H32" s="938">
        <f>SUM(F$5:F32)</f>
        <v>0</v>
      </c>
    </row>
    <row r="33" spans="1:8" ht="14.1" customHeight="1">
      <c r="A33" s="885">
        <v>29</v>
      </c>
      <c r="B33" s="886">
        <f t="shared" si="0"/>
        <v>0.56311230675951029</v>
      </c>
      <c r="C33" s="938" t="str">
        <f>IF(Innendurchmesser="","",Traktionsenergie!$D$26*(Parameter!$C$197+A33*BahnstrompreisZunahmeJahr))</f>
        <v/>
      </c>
      <c r="D33" s="938" t="e">
        <f t="shared" si="1"/>
        <v>#VALUE!</v>
      </c>
      <c r="E33" s="938">
        <f>IF(A33&lt;Parameter!$C$199*IF(Betriebsjahre&lt;&gt;"",Betriebsjahre,Betriebsjahre_Default),Traktionsenergie!$D$26*Parameter!$C$112*Parameter!$C$201/1000,Traktionsenergie!$D$26*Parameter!$C$113*Parameter!$C$201/1000)</f>
        <v>0</v>
      </c>
      <c r="F33" s="938">
        <f t="shared" si="2"/>
        <v>0</v>
      </c>
      <c r="G33" s="938" t="e">
        <f>SUM(D$5:D33)</f>
        <v>#VALUE!</v>
      </c>
      <c r="H33" s="938">
        <f>SUM(F$5:F33)</f>
        <v>0</v>
      </c>
    </row>
    <row r="34" spans="1:8" ht="14.1" customHeight="1">
      <c r="A34" s="885">
        <v>30</v>
      </c>
      <c r="B34" s="886">
        <f t="shared" si="0"/>
        <v>0.55207088897991197</v>
      </c>
      <c r="C34" s="938" t="str">
        <f>IF(Innendurchmesser="","",Traktionsenergie!$D$26*(Parameter!$C$197+A34*BahnstrompreisZunahmeJahr))</f>
        <v/>
      </c>
      <c r="D34" s="938" t="e">
        <f t="shared" si="1"/>
        <v>#VALUE!</v>
      </c>
      <c r="E34" s="938">
        <f>IF(A34&lt;Parameter!$C$199*IF(Betriebsjahre&lt;&gt;"",Betriebsjahre,Betriebsjahre_Default),Traktionsenergie!$D$26*Parameter!$C$112*Parameter!$C$201/1000,Traktionsenergie!$D$26*Parameter!$C$113*Parameter!$C$201/1000)</f>
        <v>0</v>
      </c>
      <c r="F34" s="938">
        <f t="shared" si="2"/>
        <v>0</v>
      </c>
      <c r="G34" s="938" t="e">
        <f>SUM(D$5:D34)</f>
        <v>#VALUE!</v>
      </c>
      <c r="H34" s="938">
        <f>SUM(F$5:F34)</f>
        <v>0</v>
      </c>
    </row>
    <row r="35" spans="1:8" ht="14.1" customHeight="1">
      <c r="A35" s="885">
        <v>31</v>
      </c>
      <c r="B35" s="886">
        <f t="shared" si="0"/>
        <v>0.54124596958814919</v>
      </c>
      <c r="C35" s="938" t="str">
        <f>IF(Innendurchmesser="","",Traktionsenergie!$D$26*(Parameter!$C$197+A35*BahnstrompreisZunahmeJahr))</f>
        <v/>
      </c>
      <c r="D35" s="938" t="e">
        <f t="shared" si="1"/>
        <v>#VALUE!</v>
      </c>
      <c r="E35" s="938">
        <f>IF(A35&lt;Parameter!$C$199*IF(Betriebsjahre&lt;&gt;"",Betriebsjahre,Betriebsjahre_Default),Traktionsenergie!$D$26*Parameter!$C$112*Parameter!$C$201/1000,Traktionsenergie!$D$26*Parameter!$C$113*Parameter!$C$201/1000)</f>
        <v>0</v>
      </c>
      <c r="F35" s="938">
        <f t="shared" si="2"/>
        <v>0</v>
      </c>
      <c r="G35" s="938" t="e">
        <f>SUM(D$5:D35)</f>
        <v>#VALUE!</v>
      </c>
      <c r="H35" s="938">
        <f>SUM(F$5:F35)</f>
        <v>0</v>
      </c>
    </row>
    <row r="36" spans="1:8" ht="14.1" customHeight="1">
      <c r="A36" s="885">
        <v>32</v>
      </c>
      <c r="B36" s="886">
        <f t="shared" si="0"/>
        <v>0.53063330351779314</v>
      </c>
      <c r="C36" s="938" t="str">
        <f>IF(Innendurchmesser="","",Traktionsenergie!$D$26*(Parameter!$C$197+A36*BahnstrompreisZunahmeJahr))</f>
        <v/>
      </c>
      <c r="D36" s="938" t="e">
        <f t="shared" si="1"/>
        <v>#VALUE!</v>
      </c>
      <c r="E36" s="938">
        <f>IF(A36&lt;Parameter!$C$199*IF(Betriebsjahre&lt;&gt;"",Betriebsjahre,Betriebsjahre_Default),Traktionsenergie!$D$26*Parameter!$C$112*Parameter!$C$201/1000,Traktionsenergie!$D$26*Parameter!$C$113*Parameter!$C$201/1000)</f>
        <v>0</v>
      </c>
      <c r="F36" s="938">
        <f t="shared" si="2"/>
        <v>0</v>
      </c>
      <c r="G36" s="938" t="e">
        <f>SUM(D$5:D36)</f>
        <v>#VALUE!</v>
      </c>
      <c r="H36" s="938">
        <f>SUM(F$5:F36)</f>
        <v>0</v>
      </c>
    </row>
    <row r="37" spans="1:8" ht="14.1" customHeight="1">
      <c r="A37" s="885">
        <v>33</v>
      </c>
      <c r="B37" s="886">
        <f t="shared" ref="B37:B68" si="3">(1+Diskontrate)^(-A37)</f>
        <v>0.52022872893901284</v>
      </c>
      <c r="C37" s="938" t="str">
        <f>IF(Innendurchmesser="","",Traktionsenergie!$D$26*(Parameter!$C$197+A37*BahnstrompreisZunahmeJahr))</f>
        <v/>
      </c>
      <c r="D37" s="938" t="e">
        <f t="shared" si="1"/>
        <v>#VALUE!</v>
      </c>
      <c r="E37" s="938">
        <f>IF(A37&lt;Parameter!$C$199*IF(Betriebsjahre&lt;&gt;"",Betriebsjahre,Betriebsjahre_Default),Traktionsenergie!$D$26*Parameter!$C$112*Parameter!$C$201/1000,Traktionsenergie!$D$26*Parameter!$C$113*Parameter!$C$201/1000)</f>
        <v>0</v>
      </c>
      <c r="F37" s="938">
        <f t="shared" si="2"/>
        <v>0</v>
      </c>
      <c r="G37" s="938" t="e">
        <f>SUM(D$5:D37)</f>
        <v>#VALUE!</v>
      </c>
      <c r="H37" s="938">
        <f>SUM(F$5:F37)</f>
        <v>0</v>
      </c>
    </row>
    <row r="38" spans="1:8" ht="14.1" customHeight="1">
      <c r="A38" s="885">
        <v>34</v>
      </c>
      <c r="B38" s="886">
        <f t="shared" si="3"/>
        <v>0.51002816562648323</v>
      </c>
      <c r="C38" s="938" t="str">
        <f>IF(Innendurchmesser="","",Traktionsenergie!$D$26*(Parameter!$C$197+A38*BahnstrompreisZunahmeJahr))</f>
        <v/>
      </c>
      <c r="D38" s="938" t="e">
        <f t="shared" si="1"/>
        <v>#VALUE!</v>
      </c>
      <c r="E38" s="938">
        <f>IF(A38&lt;Parameter!$C$199*IF(Betriebsjahre&lt;&gt;"",Betriebsjahre,Betriebsjahre_Default),Traktionsenergie!$D$26*Parameter!$C$112*Parameter!$C$201/1000,Traktionsenergie!$D$26*Parameter!$C$113*Parameter!$C$201/1000)</f>
        <v>0</v>
      </c>
      <c r="F38" s="938">
        <f t="shared" si="2"/>
        <v>0</v>
      </c>
      <c r="G38" s="938" t="e">
        <f>SUM(D$5:D38)</f>
        <v>#VALUE!</v>
      </c>
      <c r="H38" s="938">
        <f>SUM(F$5:F38)</f>
        <v>0</v>
      </c>
    </row>
    <row r="39" spans="1:8" ht="14.1" customHeight="1">
      <c r="A39" s="885">
        <v>35</v>
      </c>
      <c r="B39" s="886">
        <f t="shared" si="3"/>
        <v>0.50002761335929735</v>
      </c>
      <c r="C39" s="938" t="str">
        <f>IF(Innendurchmesser="","",Traktionsenergie!$D$26*(Parameter!$C$197+A39*BahnstrompreisZunahmeJahr))</f>
        <v/>
      </c>
      <c r="D39" s="938" t="e">
        <f t="shared" si="1"/>
        <v>#VALUE!</v>
      </c>
      <c r="E39" s="938">
        <f>IF(A39&lt;Parameter!$C$199*IF(Betriebsjahre&lt;&gt;"",Betriebsjahre,Betriebsjahre_Default),Traktionsenergie!$D$26*Parameter!$C$112*Parameter!$C$201/1000,Traktionsenergie!$D$26*Parameter!$C$113*Parameter!$C$201/1000)</f>
        <v>0</v>
      </c>
      <c r="F39" s="938">
        <f t="shared" si="2"/>
        <v>0</v>
      </c>
      <c r="G39" s="938" t="e">
        <f>SUM(D$5:D39)</f>
        <v>#VALUE!</v>
      </c>
      <c r="H39" s="938">
        <f>SUM(F$5:F39)</f>
        <v>0</v>
      </c>
    </row>
    <row r="40" spans="1:8" ht="14.1" customHeight="1">
      <c r="A40" s="885">
        <v>36</v>
      </c>
      <c r="B40" s="886">
        <f t="shared" si="3"/>
        <v>0.49022315035225233</v>
      </c>
      <c r="C40" s="938" t="str">
        <f>IF(Innendurchmesser="","",Traktionsenergie!$D$26*(Parameter!$C$197+A40*BahnstrompreisZunahmeJahr))</f>
        <v/>
      </c>
      <c r="D40" s="938" t="e">
        <f t="shared" si="1"/>
        <v>#VALUE!</v>
      </c>
      <c r="E40" s="938">
        <f>IF(A40&lt;Parameter!$C$199*IF(Betriebsjahre&lt;&gt;"",Betriebsjahre,Betriebsjahre_Default),Traktionsenergie!$D$26*Parameter!$C$112*Parameter!$C$201/1000,Traktionsenergie!$D$26*Parameter!$C$113*Parameter!$C$201/1000)</f>
        <v>0</v>
      </c>
      <c r="F40" s="938">
        <f t="shared" si="2"/>
        <v>0</v>
      </c>
      <c r="G40" s="938" t="e">
        <f>SUM(D$5:D40)</f>
        <v>#VALUE!</v>
      </c>
      <c r="H40" s="938">
        <f>SUM(F$5:F40)</f>
        <v>0</v>
      </c>
    </row>
    <row r="41" spans="1:8" ht="14.1" customHeight="1">
      <c r="A41" s="885">
        <v>37</v>
      </c>
      <c r="B41" s="886">
        <f t="shared" si="3"/>
        <v>0.48061093171789437</v>
      </c>
      <c r="C41" s="938" t="str">
        <f>IF(Innendurchmesser="","",Traktionsenergie!$D$26*(Parameter!$C$197+A41*BahnstrompreisZunahmeJahr))</f>
        <v/>
      </c>
      <c r="D41" s="938" t="e">
        <f t="shared" si="1"/>
        <v>#VALUE!</v>
      </c>
      <c r="E41" s="938">
        <f>IF(A41&lt;Parameter!$C$199*IF(Betriebsjahre&lt;&gt;"",Betriebsjahre,Betriebsjahre_Default),Traktionsenergie!$D$26*Parameter!$C$112*Parameter!$C$201/1000,Traktionsenergie!$D$26*Parameter!$C$113*Parameter!$C$201/1000)</f>
        <v>0</v>
      </c>
      <c r="F41" s="938">
        <f t="shared" si="2"/>
        <v>0</v>
      </c>
      <c r="G41" s="938" t="e">
        <f>SUM(D$5:D41)</f>
        <v>#VALUE!</v>
      </c>
      <c r="H41" s="938">
        <f>SUM(F$5:F41)</f>
        <v>0</v>
      </c>
    </row>
    <row r="42" spans="1:8" ht="14.1" customHeight="1">
      <c r="A42" s="885">
        <v>38</v>
      </c>
      <c r="B42" s="886">
        <f t="shared" si="3"/>
        <v>0.47118718795871989</v>
      </c>
      <c r="C42" s="938" t="str">
        <f>IF(Innendurchmesser="","",Traktionsenergie!$D$26*(Parameter!$C$197+A42*BahnstrompreisZunahmeJahr))</f>
        <v/>
      </c>
      <c r="D42" s="938" t="e">
        <f t="shared" si="1"/>
        <v>#VALUE!</v>
      </c>
      <c r="E42" s="938">
        <f>IF(A42&lt;Parameter!$C$199*IF(Betriebsjahre&lt;&gt;"",Betriebsjahre,Betriebsjahre_Default),Traktionsenergie!$D$26*Parameter!$C$112*Parameter!$C$201/1000,Traktionsenergie!$D$26*Parameter!$C$113*Parameter!$C$201/1000)</f>
        <v>0</v>
      </c>
      <c r="F42" s="938">
        <f t="shared" si="2"/>
        <v>0</v>
      </c>
      <c r="G42" s="938" t="e">
        <f>SUM(D$5:D42)</f>
        <v>#VALUE!</v>
      </c>
      <c r="H42" s="938">
        <f>SUM(F$5:F42)</f>
        <v>0</v>
      </c>
    </row>
    <row r="43" spans="1:8" ht="14.1" customHeight="1">
      <c r="A43" s="885">
        <v>39</v>
      </c>
      <c r="B43" s="886">
        <f t="shared" si="3"/>
        <v>0.46194822348894127</v>
      </c>
      <c r="C43" s="938" t="str">
        <f>IF(Innendurchmesser="","",Traktionsenergie!$D$26*(Parameter!$C$197+A43*BahnstrompreisZunahmeJahr))</f>
        <v/>
      </c>
      <c r="D43" s="938" t="e">
        <f t="shared" si="1"/>
        <v>#VALUE!</v>
      </c>
      <c r="E43" s="938">
        <f>IF(A43&lt;Parameter!$C$199*IF(Betriebsjahre&lt;&gt;"",Betriebsjahre,Betriebsjahre_Default),Traktionsenergie!$D$26*Parameter!$C$112*Parameter!$C$201/1000,Traktionsenergie!$D$26*Parameter!$C$113*Parameter!$C$201/1000)</f>
        <v>0</v>
      </c>
      <c r="F43" s="938">
        <f t="shared" si="2"/>
        <v>0</v>
      </c>
      <c r="G43" s="938" t="e">
        <f>SUM(D$5:D43)</f>
        <v>#VALUE!</v>
      </c>
      <c r="H43" s="938">
        <f>SUM(F$5:F43)</f>
        <v>0</v>
      </c>
    </row>
    <row r="44" spans="1:8" ht="14.1" customHeight="1">
      <c r="A44" s="885">
        <v>40</v>
      </c>
      <c r="B44" s="886">
        <f t="shared" si="3"/>
        <v>0.45289041518523643</v>
      </c>
      <c r="C44" s="938" t="str">
        <f>IF(Innendurchmesser="","",Traktionsenergie!$D$26*(Parameter!$C$197+A44*BahnstrompreisZunahmeJahr))</f>
        <v/>
      </c>
      <c r="D44" s="938" t="e">
        <f t="shared" si="1"/>
        <v>#VALUE!</v>
      </c>
      <c r="E44" s="938">
        <f>IF(A44&lt;Parameter!$C$199*IF(Betriebsjahre&lt;&gt;"",Betriebsjahre,Betriebsjahre_Default),Traktionsenergie!$D$26*Parameter!$C$112*Parameter!$C$201/1000,Traktionsenergie!$D$26*Parameter!$C$113*Parameter!$C$201/1000)</f>
        <v>0</v>
      </c>
      <c r="F44" s="938">
        <f t="shared" si="2"/>
        <v>0</v>
      </c>
      <c r="G44" s="938" t="e">
        <f>SUM(D$5:D44)</f>
        <v>#VALUE!</v>
      </c>
      <c r="H44" s="938">
        <f>SUM(F$5:F44)</f>
        <v>0</v>
      </c>
    </row>
    <row r="45" spans="1:8" ht="14.1" customHeight="1">
      <c r="A45" s="885">
        <v>41</v>
      </c>
      <c r="B45" s="886">
        <f t="shared" si="3"/>
        <v>0.44401021096591808</v>
      </c>
      <c r="C45" s="938" t="str">
        <f>IF(Innendurchmesser="","",Traktionsenergie!$D$26*(Parameter!$C$197+A45*BahnstrompreisZunahmeJahr))</f>
        <v/>
      </c>
      <c r="D45" s="938" t="e">
        <f t="shared" si="1"/>
        <v>#VALUE!</v>
      </c>
      <c r="E45" s="938">
        <f>IF(A45&lt;Parameter!$C$199*IF(Betriebsjahre&lt;&gt;"",Betriebsjahre,Betriebsjahre_Default),Traktionsenergie!$D$26*Parameter!$C$112*Parameter!$C$201/1000,Traktionsenergie!$D$26*Parameter!$C$113*Parameter!$C$201/1000)</f>
        <v>0</v>
      </c>
      <c r="F45" s="938">
        <f t="shared" si="2"/>
        <v>0</v>
      </c>
      <c r="G45" s="938" t="e">
        <f>SUM(D$5:D45)</f>
        <v>#VALUE!</v>
      </c>
      <c r="H45" s="938">
        <f>SUM(F$5:F45)</f>
        <v>0</v>
      </c>
    </row>
    <row r="46" spans="1:8" ht="14.1" customHeight="1">
      <c r="A46" s="885">
        <v>42</v>
      </c>
      <c r="B46" s="886">
        <f t="shared" si="3"/>
        <v>0.4353041283979589</v>
      </c>
      <c r="C46" s="938" t="str">
        <f>IF(Innendurchmesser="","",Traktionsenergie!$D$26*(Parameter!$C$197+A46*BahnstrompreisZunahmeJahr))</f>
        <v/>
      </c>
      <c r="D46" s="938" t="e">
        <f t="shared" si="1"/>
        <v>#VALUE!</v>
      </c>
      <c r="E46" s="938">
        <f>IF(A46&lt;Parameter!$C$199*IF(Betriebsjahre&lt;&gt;"",Betriebsjahre,Betriebsjahre_Default),Traktionsenergie!$D$26*Parameter!$C$112*Parameter!$C$201/1000,Traktionsenergie!$D$26*Parameter!$C$113*Parameter!$C$201/1000)</f>
        <v>0</v>
      </c>
      <c r="F46" s="938">
        <f t="shared" si="2"/>
        <v>0</v>
      </c>
      <c r="G46" s="938" t="e">
        <f>SUM(D$5:D46)</f>
        <v>#VALUE!</v>
      </c>
      <c r="H46" s="938">
        <f>SUM(F$5:F46)</f>
        <v>0</v>
      </c>
    </row>
    <row r="47" spans="1:8" ht="14.1" customHeight="1">
      <c r="A47" s="885">
        <v>43</v>
      </c>
      <c r="B47" s="886">
        <f t="shared" si="3"/>
        <v>0.4267687533313323</v>
      </c>
      <c r="C47" s="938" t="str">
        <f>IF(Innendurchmesser="","",Traktionsenergie!$D$26*(Parameter!$C$197+A47*BahnstrompreisZunahmeJahr))</f>
        <v/>
      </c>
      <c r="D47" s="938" t="e">
        <f t="shared" si="1"/>
        <v>#VALUE!</v>
      </c>
      <c r="E47" s="938">
        <f>IF(A47&lt;Parameter!$C$199*IF(Betriebsjahre&lt;&gt;"",Betriebsjahre,Betriebsjahre_Default),Traktionsenergie!$D$26*Parameter!$C$112*Parameter!$C$201/1000,Traktionsenergie!$D$26*Parameter!$C$113*Parameter!$C$201/1000)</f>
        <v>0</v>
      </c>
      <c r="F47" s="938">
        <f t="shared" si="2"/>
        <v>0</v>
      </c>
      <c r="G47" s="938" t="e">
        <f>SUM(D$5:D47)</f>
        <v>#VALUE!</v>
      </c>
      <c r="H47" s="938">
        <f>SUM(F$5:F47)</f>
        <v>0</v>
      </c>
    </row>
    <row r="48" spans="1:8" ht="14.1" customHeight="1">
      <c r="A48" s="885">
        <v>44</v>
      </c>
      <c r="B48" s="886">
        <f t="shared" si="3"/>
        <v>0.41840073856012966</v>
      </c>
      <c r="C48" s="938" t="str">
        <f>IF(Innendurchmesser="","",Traktionsenergie!$D$26*(Parameter!$C$197+A48*BahnstrompreisZunahmeJahr))</f>
        <v/>
      </c>
      <c r="D48" s="938" t="e">
        <f t="shared" si="1"/>
        <v>#VALUE!</v>
      </c>
      <c r="E48" s="938">
        <f>IF(A48&lt;Parameter!$C$199*IF(Betriebsjahre&lt;&gt;"",Betriebsjahre,Betriebsjahre_Default),Traktionsenergie!$D$26*Parameter!$C$112*Parameter!$C$201/1000,Traktionsenergie!$D$26*Parameter!$C$113*Parameter!$C$201/1000)</f>
        <v>0</v>
      </c>
      <c r="F48" s="938">
        <f t="shared" si="2"/>
        <v>0</v>
      </c>
      <c r="G48" s="938" t="e">
        <f>SUM(D$5:D48)</f>
        <v>#VALUE!</v>
      </c>
      <c r="H48" s="938">
        <f>SUM(F$5:F48)</f>
        <v>0</v>
      </c>
    </row>
    <row r="49" spans="1:8" ht="14.1" customHeight="1">
      <c r="A49" s="885">
        <v>45</v>
      </c>
      <c r="B49" s="886">
        <f t="shared" si="3"/>
        <v>0.41019680250993107</v>
      </c>
      <c r="C49" s="938" t="str">
        <f>IF(Innendurchmesser="","",Traktionsenergie!$D$26*(Parameter!$C$197+A49*BahnstrompreisZunahmeJahr))</f>
        <v/>
      </c>
      <c r="D49" s="938" t="e">
        <f t="shared" si="1"/>
        <v>#VALUE!</v>
      </c>
      <c r="E49" s="938">
        <f>IF(A49&lt;Parameter!$C$199*IF(Betriebsjahre&lt;&gt;"",Betriebsjahre,Betriebsjahre_Default),Traktionsenergie!$D$26*Parameter!$C$112*Parameter!$C$201/1000,Traktionsenergie!$D$26*Parameter!$C$113*Parameter!$C$201/1000)</f>
        <v>0</v>
      </c>
      <c r="F49" s="938">
        <f t="shared" si="2"/>
        <v>0</v>
      </c>
      <c r="G49" s="938" t="e">
        <f>SUM(D$5:D49)</f>
        <v>#VALUE!</v>
      </c>
      <c r="H49" s="938">
        <f>SUM(F$5:F49)</f>
        <v>0</v>
      </c>
    </row>
    <row r="50" spans="1:8" ht="14.1" customHeight="1">
      <c r="A50" s="885">
        <v>46</v>
      </c>
      <c r="B50" s="886">
        <f t="shared" si="3"/>
        <v>0.40215372795091275</v>
      </c>
      <c r="C50" s="938" t="str">
        <f>IF(Innendurchmesser="","",Traktionsenergie!$D$26*(Parameter!$C$197+A50*BahnstrompreisZunahmeJahr))</f>
        <v/>
      </c>
      <c r="D50" s="938" t="e">
        <f t="shared" si="1"/>
        <v>#VALUE!</v>
      </c>
      <c r="E50" s="938">
        <f>IF(A50&lt;Parameter!$C$199*IF(Betriebsjahre&lt;&gt;"",Betriebsjahre,Betriebsjahre_Default),Traktionsenergie!$D$26*Parameter!$C$112*Parameter!$C$201/1000,Traktionsenergie!$D$26*Parameter!$C$113*Parameter!$C$201/1000)</f>
        <v>0</v>
      </c>
      <c r="F50" s="938">
        <f t="shared" si="2"/>
        <v>0</v>
      </c>
      <c r="G50" s="938" t="e">
        <f>SUM(D$5:D50)</f>
        <v>#VALUE!</v>
      </c>
      <c r="H50" s="938">
        <f>SUM(F$5:F50)</f>
        <v>0</v>
      </c>
    </row>
    <row r="51" spans="1:8" ht="14.1" customHeight="1">
      <c r="A51" s="885">
        <v>47</v>
      </c>
      <c r="B51" s="886">
        <f t="shared" si="3"/>
        <v>0.39426836073618909</v>
      </c>
      <c r="C51" s="938" t="str">
        <f>IF(Innendurchmesser="","",Traktionsenergie!$D$26*(Parameter!$C$197+A51*BahnstrompreisZunahmeJahr))</f>
        <v/>
      </c>
      <c r="D51" s="938" t="e">
        <f t="shared" si="1"/>
        <v>#VALUE!</v>
      </c>
      <c r="E51" s="938">
        <f>IF(A51&lt;Parameter!$C$199*IF(Betriebsjahre&lt;&gt;"",Betriebsjahre,Betriebsjahre_Default),Traktionsenergie!$D$26*Parameter!$C$112*Parameter!$C$201/1000,Traktionsenergie!$D$26*Parameter!$C$113*Parameter!$C$201/1000)</f>
        <v>0</v>
      </c>
      <c r="F51" s="938">
        <f t="shared" si="2"/>
        <v>0</v>
      </c>
      <c r="G51" s="938" t="e">
        <f>SUM(D$5:D51)</f>
        <v>#VALUE!</v>
      </c>
      <c r="H51" s="938">
        <f>SUM(F$5:F51)</f>
        <v>0</v>
      </c>
    </row>
    <row r="52" spans="1:8" ht="14.1" customHeight="1">
      <c r="A52" s="885">
        <v>48</v>
      </c>
      <c r="B52" s="886">
        <f t="shared" si="3"/>
        <v>0.38653760856489122</v>
      </c>
      <c r="C52" s="938" t="str">
        <f>IF(Innendurchmesser="","",Traktionsenergie!$D$26*(Parameter!$C$197+A52*BahnstrompreisZunahmeJahr))</f>
        <v/>
      </c>
      <c r="D52" s="938" t="e">
        <f t="shared" si="1"/>
        <v>#VALUE!</v>
      </c>
      <c r="E52" s="938">
        <f>IF(A52&lt;Parameter!$C$199*IF(Betriebsjahre&lt;&gt;"",Betriebsjahre,Betriebsjahre_Default),Traktionsenergie!$D$26*Parameter!$C$112*Parameter!$C$201/1000,Traktionsenergie!$D$26*Parameter!$C$113*Parameter!$C$201/1000)</f>
        <v>0</v>
      </c>
      <c r="F52" s="938">
        <f t="shared" si="2"/>
        <v>0</v>
      </c>
      <c r="G52" s="938" t="e">
        <f>SUM(D$5:D52)</f>
        <v>#VALUE!</v>
      </c>
      <c r="H52" s="938">
        <f>SUM(F$5:F52)</f>
        <v>0</v>
      </c>
    </row>
    <row r="53" spans="1:8" ht="14.1" customHeight="1">
      <c r="A53" s="885">
        <v>49</v>
      </c>
      <c r="B53" s="886">
        <f t="shared" si="3"/>
        <v>0.37895843976950117</v>
      </c>
      <c r="C53" s="938" t="str">
        <f>IF(Innendurchmesser="","",Traktionsenergie!$D$26*(Parameter!$C$197+A53*BahnstrompreisZunahmeJahr))</f>
        <v/>
      </c>
      <c r="D53" s="938" t="e">
        <f t="shared" si="1"/>
        <v>#VALUE!</v>
      </c>
      <c r="E53" s="938">
        <f>IF(A53&lt;Parameter!$C$199*IF(Betriebsjahre&lt;&gt;"",Betriebsjahre,Betriebsjahre_Default),Traktionsenergie!$D$26*Parameter!$C$112*Parameter!$C$201/1000,Traktionsenergie!$D$26*Parameter!$C$113*Parameter!$C$201/1000)</f>
        <v>0</v>
      </c>
      <c r="F53" s="938">
        <f t="shared" si="2"/>
        <v>0</v>
      </c>
      <c r="G53" s="938" t="e">
        <f>SUM(D$5:D53)</f>
        <v>#VALUE!</v>
      </c>
      <c r="H53" s="938">
        <f>SUM(F$5:F53)</f>
        <v>0</v>
      </c>
    </row>
    <row r="54" spans="1:8" ht="14.1" customHeight="1">
      <c r="A54" s="885">
        <v>50</v>
      </c>
      <c r="B54" s="886">
        <f t="shared" si="3"/>
        <v>0.37152788212696192</v>
      </c>
      <c r="C54" s="938" t="str">
        <f>IF(Innendurchmesser="","",Traktionsenergie!$D$26*(Parameter!$C$197+A54*BahnstrompreisZunahmeJahr))</f>
        <v/>
      </c>
      <c r="D54" s="938" t="e">
        <f t="shared" si="1"/>
        <v>#VALUE!</v>
      </c>
      <c r="E54" s="938">
        <f>IF(A54&lt;Parameter!$C$199*IF(Betriebsjahre&lt;&gt;"",Betriebsjahre,Betriebsjahre_Default),Traktionsenergie!$D$26*Parameter!$C$112*Parameter!$C$201/1000,Traktionsenergie!$D$26*Parameter!$C$113*Parameter!$C$201/1000)</f>
        <v>0</v>
      </c>
      <c r="F54" s="938">
        <f t="shared" si="2"/>
        <v>0</v>
      </c>
      <c r="G54" s="938" t="e">
        <f>SUM(D$5:D54)</f>
        <v>#VALUE!</v>
      </c>
      <c r="H54" s="938">
        <f>SUM(F$5:F54)</f>
        <v>0</v>
      </c>
    </row>
    <row r="55" spans="1:8" ht="14.1" customHeight="1">
      <c r="A55" s="885">
        <v>51</v>
      </c>
      <c r="B55" s="886">
        <f t="shared" si="3"/>
        <v>0.36424302169309997</v>
      </c>
      <c r="C55" s="938" t="str">
        <f>IF(Innendurchmesser="","",Traktionsenergie!$D$26*(Parameter!$C$197+A55*BahnstrompreisZunahmeJahr))</f>
        <v/>
      </c>
      <c r="D55" s="938" t="e">
        <f t="shared" si="1"/>
        <v>#VALUE!</v>
      </c>
      <c r="E55" s="938">
        <f>IF(A55&lt;Parameter!$C$199*IF(Betriebsjahre&lt;&gt;"",Betriebsjahre,Betriebsjahre_Default),Traktionsenergie!$D$26*Parameter!$C$112*Parameter!$C$201/1000,Traktionsenergie!$D$26*Parameter!$C$113*Parameter!$C$201/1000)</f>
        <v>0</v>
      </c>
      <c r="F55" s="938">
        <f t="shared" si="2"/>
        <v>0</v>
      </c>
      <c r="G55" s="938" t="e">
        <f>SUM(D$5:D55)</f>
        <v>#VALUE!</v>
      </c>
      <c r="H55" s="938">
        <f>SUM(F$5:F55)</f>
        <v>0</v>
      </c>
    </row>
    <row r="56" spans="1:8" ht="14.1" customHeight="1">
      <c r="A56" s="885">
        <v>52</v>
      </c>
      <c r="B56" s="886">
        <f t="shared" si="3"/>
        <v>0.35710100165990188</v>
      </c>
      <c r="C56" s="938" t="str">
        <f>IF(Innendurchmesser="","",Traktionsenergie!$D$26*(Parameter!$C$197+A56*BahnstrompreisZunahmeJahr))</f>
        <v/>
      </c>
      <c r="D56" s="938" t="e">
        <f t="shared" si="1"/>
        <v>#VALUE!</v>
      </c>
      <c r="E56" s="938">
        <f>IF(A56&lt;Parameter!$C$199*IF(Betriebsjahre&lt;&gt;"",Betriebsjahre,Betriebsjahre_Default),Traktionsenergie!$D$26*Parameter!$C$112*Parameter!$C$201/1000,Traktionsenergie!$D$26*Parameter!$C$113*Parameter!$C$201/1000)</f>
        <v>0</v>
      </c>
      <c r="F56" s="938">
        <f t="shared" si="2"/>
        <v>0</v>
      </c>
      <c r="G56" s="938" t="e">
        <f>SUM(D$5:D56)</f>
        <v>#VALUE!</v>
      </c>
      <c r="H56" s="938">
        <f>SUM(F$5:F56)</f>
        <v>0</v>
      </c>
    </row>
    <row r="57" spans="1:8" ht="14.1" customHeight="1">
      <c r="A57" s="885">
        <v>53</v>
      </c>
      <c r="B57" s="886">
        <f t="shared" si="3"/>
        <v>0.35009902123519798</v>
      </c>
      <c r="C57" s="938" t="str">
        <f>IF(Innendurchmesser="","",Traktionsenergie!$D$26*(Parameter!$C$197+A57*BahnstrompreisZunahmeJahr))</f>
        <v/>
      </c>
      <c r="D57" s="938" t="e">
        <f t="shared" si="1"/>
        <v>#VALUE!</v>
      </c>
      <c r="E57" s="938">
        <f>IF(A57&lt;Parameter!$C$199*IF(Betriebsjahre&lt;&gt;"",Betriebsjahre,Betriebsjahre_Default),Traktionsenergie!$D$26*Parameter!$C$112*Parameter!$C$201/1000,Traktionsenergie!$D$26*Parameter!$C$113*Parameter!$C$201/1000)</f>
        <v>0</v>
      </c>
      <c r="F57" s="938">
        <f t="shared" si="2"/>
        <v>0</v>
      </c>
      <c r="G57" s="938" t="e">
        <f>SUM(D$5:D57)</f>
        <v>#VALUE!</v>
      </c>
      <c r="H57" s="938">
        <f>SUM(F$5:F57)</f>
        <v>0</v>
      </c>
    </row>
    <row r="58" spans="1:8" ht="14.1" customHeight="1">
      <c r="A58" s="885">
        <v>54</v>
      </c>
      <c r="B58" s="886">
        <f t="shared" si="3"/>
        <v>0.34323433454431168</v>
      </c>
      <c r="C58" s="938" t="str">
        <f>IF(Innendurchmesser="","",Traktionsenergie!$D$26*(Parameter!$C$197+A58*BahnstrompreisZunahmeJahr))</f>
        <v/>
      </c>
      <c r="D58" s="938" t="e">
        <f t="shared" si="1"/>
        <v>#VALUE!</v>
      </c>
      <c r="E58" s="938">
        <f>IF(A58&lt;Parameter!$C$199*IF(Betriebsjahre&lt;&gt;"",Betriebsjahre,Betriebsjahre_Default),Traktionsenergie!$D$26*Parameter!$C$112*Parameter!$C$201/1000,Traktionsenergie!$D$26*Parameter!$C$113*Parameter!$C$201/1000)</f>
        <v>0</v>
      </c>
      <c r="F58" s="938">
        <f t="shared" si="2"/>
        <v>0</v>
      </c>
      <c r="G58" s="938" t="e">
        <f>SUM(D$5:D58)</f>
        <v>#VALUE!</v>
      </c>
      <c r="H58" s="938">
        <f>SUM(F$5:F58)</f>
        <v>0</v>
      </c>
    </row>
    <row r="59" spans="1:8" ht="14.1" customHeight="1">
      <c r="A59" s="885">
        <v>55</v>
      </c>
      <c r="B59" s="886">
        <f t="shared" si="3"/>
        <v>0.33650424955324687</v>
      </c>
      <c r="C59" s="938" t="str">
        <f>IF(Innendurchmesser="","",Traktionsenergie!$D$26*(Parameter!$C$197+A59*BahnstrompreisZunahmeJahr))</f>
        <v/>
      </c>
      <c r="D59" s="938" t="e">
        <f t="shared" si="1"/>
        <v>#VALUE!</v>
      </c>
      <c r="E59" s="938">
        <f>IF(A59&lt;Parameter!$C$199*IF(Betriebsjahre&lt;&gt;"",Betriebsjahre,Betriebsjahre_Default),Traktionsenergie!$D$26*Parameter!$C$112*Parameter!$C$201/1000,Traktionsenergie!$D$26*Parameter!$C$113*Parameter!$C$201/1000)</f>
        <v>0</v>
      </c>
      <c r="F59" s="938">
        <f t="shared" si="2"/>
        <v>0</v>
      </c>
      <c r="G59" s="938" t="e">
        <f>SUM(D$5:D59)</f>
        <v>#VALUE!</v>
      </c>
      <c r="H59" s="938">
        <f>SUM(F$5:F59)</f>
        <v>0</v>
      </c>
    </row>
    <row r="60" spans="1:8" ht="14.1" customHeight="1">
      <c r="A60" s="885">
        <v>56</v>
      </c>
      <c r="B60" s="886">
        <f t="shared" si="3"/>
        <v>0.3299061270129871</v>
      </c>
      <c r="C60" s="938" t="str">
        <f>IF(Innendurchmesser="","",Traktionsenergie!$D$26*(Parameter!$C$197+A60*BahnstrompreisZunahmeJahr))</f>
        <v/>
      </c>
      <c r="D60" s="938" t="e">
        <f t="shared" si="1"/>
        <v>#VALUE!</v>
      </c>
      <c r="E60" s="938">
        <f>IF(A60&lt;Parameter!$C$199*IF(Betriebsjahre&lt;&gt;"",Betriebsjahre,Betriebsjahre_Default),Traktionsenergie!$D$26*Parameter!$C$112*Parameter!$C$201/1000,Traktionsenergie!$D$26*Parameter!$C$113*Parameter!$C$201/1000)</f>
        <v>0</v>
      </c>
      <c r="F60" s="938">
        <f t="shared" si="2"/>
        <v>0</v>
      </c>
      <c r="G60" s="938" t="e">
        <f>SUM(D$5:D60)</f>
        <v>#VALUE!</v>
      </c>
      <c r="H60" s="938">
        <f>SUM(F$5:F60)</f>
        <v>0</v>
      </c>
    </row>
    <row r="61" spans="1:8" ht="14.1" customHeight="1">
      <c r="A61" s="885">
        <v>57</v>
      </c>
      <c r="B61" s="886">
        <f t="shared" si="3"/>
        <v>0.32343737942449713</v>
      </c>
      <c r="C61" s="938" t="str">
        <f>IF(Innendurchmesser="","",Traktionsenergie!$D$26*(Parameter!$C$197+A61*BahnstrompreisZunahmeJahr))</f>
        <v/>
      </c>
      <c r="D61" s="938" t="e">
        <f t="shared" si="1"/>
        <v>#VALUE!</v>
      </c>
      <c r="E61" s="938">
        <f>IF(A61&lt;Parameter!$C$199*IF(Betriebsjahre&lt;&gt;"",Betriebsjahre,Betriebsjahre_Default),Traktionsenergie!$D$26*Parameter!$C$112*Parameter!$C$201/1000,Traktionsenergie!$D$26*Parameter!$C$113*Parameter!$C$201/1000)</f>
        <v>0</v>
      </c>
      <c r="F61" s="938">
        <f t="shared" si="2"/>
        <v>0</v>
      </c>
      <c r="G61" s="938" t="e">
        <f>SUM(D$5:D61)</f>
        <v>#VALUE!</v>
      </c>
      <c r="H61" s="938">
        <f>SUM(F$5:F61)</f>
        <v>0</v>
      </c>
    </row>
    <row r="62" spans="1:8" ht="14.1" customHeight="1">
      <c r="A62" s="885">
        <v>58</v>
      </c>
      <c r="B62" s="886">
        <f t="shared" si="3"/>
        <v>0.31709547002401678</v>
      </c>
      <c r="C62" s="938" t="str">
        <f>IF(Innendurchmesser="","",Traktionsenergie!$D$26*(Parameter!$C$197+A62*BahnstrompreisZunahmeJahr))</f>
        <v/>
      </c>
      <c r="D62" s="938" t="e">
        <f t="shared" si="1"/>
        <v>#VALUE!</v>
      </c>
      <c r="E62" s="938">
        <f>IF(A62&lt;Parameter!$C$199*IF(Betriebsjahre&lt;&gt;"",Betriebsjahre,Betriebsjahre_Default),Traktionsenergie!$D$26*Parameter!$C$112*Parameter!$C$201/1000,Traktionsenergie!$D$26*Parameter!$C$113*Parameter!$C$201/1000)</f>
        <v>0</v>
      </c>
      <c r="F62" s="938">
        <f t="shared" si="2"/>
        <v>0</v>
      </c>
      <c r="G62" s="938" t="e">
        <f>SUM(D$5:D62)</f>
        <v>#VALUE!</v>
      </c>
      <c r="H62" s="938">
        <f>SUM(F$5:F62)</f>
        <v>0</v>
      </c>
    </row>
    <row r="63" spans="1:8" ht="14.1" customHeight="1">
      <c r="A63" s="885">
        <v>59</v>
      </c>
      <c r="B63" s="886">
        <f t="shared" si="3"/>
        <v>0.3108779117882518</v>
      </c>
      <c r="C63" s="938" t="str">
        <f>IF(Innendurchmesser="","",Traktionsenergie!$D$26*(Parameter!$C$197+A63*BahnstrompreisZunahmeJahr))</f>
        <v/>
      </c>
      <c r="D63" s="938" t="e">
        <f t="shared" si="1"/>
        <v>#VALUE!</v>
      </c>
      <c r="E63" s="938">
        <f>IF(A63&lt;Parameter!$C$199*IF(Betriebsjahre&lt;&gt;"",Betriebsjahre,Betriebsjahre_Default),Traktionsenergie!$D$26*Parameter!$C$112*Parameter!$C$201/1000,Traktionsenergie!$D$26*Parameter!$C$113*Parameter!$C$201/1000)</f>
        <v>0</v>
      </c>
      <c r="F63" s="938">
        <f t="shared" si="2"/>
        <v>0</v>
      </c>
      <c r="G63" s="938" t="e">
        <f>SUM(D$5:D63)</f>
        <v>#VALUE!</v>
      </c>
      <c r="H63" s="938">
        <f>SUM(F$5:F63)</f>
        <v>0</v>
      </c>
    </row>
    <row r="64" spans="1:8" ht="14.1" customHeight="1">
      <c r="A64" s="885">
        <v>60</v>
      </c>
      <c r="B64" s="886">
        <f t="shared" si="3"/>
        <v>0.30478226645907031</v>
      </c>
      <c r="C64" s="938" t="str">
        <f>IF(Innendurchmesser="","",Traktionsenergie!$D$26*(Parameter!$C$197+A64*BahnstrompreisZunahmeJahr))</f>
        <v/>
      </c>
      <c r="D64" s="938" t="e">
        <f t="shared" si="1"/>
        <v>#VALUE!</v>
      </c>
      <c r="E64" s="938">
        <f>IF(A64&lt;Parameter!$C$199*IF(Betriebsjahre&lt;&gt;"",Betriebsjahre,Betriebsjahre_Default),Traktionsenergie!$D$26*Parameter!$C$112*Parameter!$C$201/1000,Traktionsenergie!$D$26*Parameter!$C$113*Parameter!$C$201/1000)</f>
        <v>0</v>
      </c>
      <c r="F64" s="938">
        <f t="shared" si="2"/>
        <v>0</v>
      </c>
      <c r="G64" s="938" t="e">
        <f>SUM(D$5:D64)</f>
        <v>#VALUE!</v>
      </c>
      <c r="H64" s="938">
        <f>SUM(F$5:F64)</f>
        <v>0</v>
      </c>
    </row>
    <row r="65" spans="1:8" ht="14.1" customHeight="1">
      <c r="A65" s="885">
        <v>61</v>
      </c>
      <c r="B65" s="886">
        <f t="shared" si="3"/>
        <v>0.29880614358732388</v>
      </c>
      <c r="C65" s="938" t="str">
        <f>IF(Innendurchmesser="","",Traktionsenergie!$D$26*(Parameter!$C$197+A65*BahnstrompreisZunahmeJahr))</f>
        <v/>
      </c>
      <c r="D65" s="938" t="e">
        <f t="shared" si="1"/>
        <v>#VALUE!</v>
      </c>
      <c r="E65" s="938">
        <f>IF(A65&lt;Parameter!$C$199*IF(Betriebsjahre&lt;&gt;"",Betriebsjahre,Betriebsjahre_Default),Traktionsenergie!$D$26*Parameter!$C$112*Parameter!$C$201/1000,Traktionsenergie!$D$26*Parameter!$C$113*Parameter!$C$201/1000)</f>
        <v>0</v>
      </c>
      <c r="F65" s="938">
        <f t="shared" si="2"/>
        <v>0</v>
      </c>
      <c r="G65" s="938" t="e">
        <f>SUM(D$5:D65)</f>
        <v>#VALUE!</v>
      </c>
      <c r="H65" s="938">
        <f>SUM(F$5:F65)</f>
        <v>0</v>
      </c>
    </row>
    <row r="66" spans="1:8" ht="14.1" customHeight="1">
      <c r="A66" s="885">
        <v>62</v>
      </c>
      <c r="B66" s="886">
        <f t="shared" si="3"/>
        <v>0.29294719959541554</v>
      </c>
      <c r="C66" s="938" t="str">
        <f>IF(Innendurchmesser="","",Traktionsenergie!$D$26*(Parameter!$C$197+A66*BahnstrompreisZunahmeJahr))</f>
        <v/>
      </c>
      <c r="D66" s="938" t="e">
        <f t="shared" si="1"/>
        <v>#VALUE!</v>
      </c>
      <c r="E66" s="938">
        <f>IF(A66&lt;Parameter!$C$199*IF(Betriebsjahre&lt;&gt;"",Betriebsjahre,Betriebsjahre_Default),Traktionsenergie!$D$26*Parameter!$C$112*Parameter!$C$201/1000,Traktionsenergie!$D$26*Parameter!$C$113*Parameter!$C$201/1000)</f>
        <v>0</v>
      </c>
      <c r="F66" s="938">
        <f t="shared" si="2"/>
        <v>0</v>
      </c>
      <c r="G66" s="938" t="e">
        <f>SUM(D$5:D66)</f>
        <v>#VALUE!</v>
      </c>
      <c r="H66" s="938">
        <f>SUM(F$5:F66)</f>
        <v>0</v>
      </c>
    </row>
    <row r="67" spans="1:8" ht="14.1" customHeight="1">
      <c r="A67" s="885">
        <v>63</v>
      </c>
      <c r="B67" s="886">
        <f t="shared" si="3"/>
        <v>0.28720313685825061</v>
      </c>
      <c r="C67" s="938" t="str">
        <f>IF(Innendurchmesser="","",Traktionsenergie!$D$26*(Parameter!$C$197+A67*BahnstrompreisZunahmeJahr))</f>
        <v/>
      </c>
      <c r="D67" s="938" t="e">
        <f t="shared" si="1"/>
        <v>#VALUE!</v>
      </c>
      <c r="E67" s="938">
        <f>IF(A67&lt;Parameter!$C$199*IF(Betriebsjahre&lt;&gt;"",Betriebsjahre,Betriebsjahre_Default),Traktionsenergie!$D$26*Parameter!$C$112*Parameter!$C$201/1000,Traktionsenergie!$D$26*Parameter!$C$113*Parameter!$C$201/1000)</f>
        <v>0</v>
      </c>
      <c r="F67" s="938">
        <f t="shared" si="2"/>
        <v>0</v>
      </c>
      <c r="G67" s="938" t="e">
        <f>SUM(D$5:D67)</f>
        <v>#VALUE!</v>
      </c>
      <c r="H67" s="938">
        <f>SUM(F$5:F67)</f>
        <v>0</v>
      </c>
    </row>
    <row r="68" spans="1:8" ht="14.1" customHeight="1">
      <c r="A68" s="885">
        <v>64</v>
      </c>
      <c r="B68" s="886">
        <f t="shared" si="3"/>
        <v>0.28157170280220639</v>
      </c>
      <c r="C68" s="938" t="str">
        <f>IF(Innendurchmesser="","",Traktionsenergie!$D$26*(Parameter!$C$197+A68*BahnstrompreisZunahmeJahr))</f>
        <v/>
      </c>
      <c r="D68" s="938" t="e">
        <f t="shared" si="1"/>
        <v>#VALUE!</v>
      </c>
      <c r="E68" s="938">
        <f>IF(A68&lt;Parameter!$C$199*IF(Betriebsjahre&lt;&gt;"",Betriebsjahre,Betriebsjahre_Default),Traktionsenergie!$D$26*Parameter!$C$112*Parameter!$C$201/1000,Traktionsenergie!$D$26*Parameter!$C$113*Parameter!$C$201/1000)</f>
        <v>0</v>
      </c>
      <c r="F68" s="938">
        <f t="shared" si="2"/>
        <v>0</v>
      </c>
      <c r="G68" s="938" t="e">
        <f>SUM(D$5:D68)</f>
        <v>#VALUE!</v>
      </c>
      <c r="H68" s="938">
        <f>SUM(F$5:F68)</f>
        <v>0</v>
      </c>
    </row>
    <row r="69" spans="1:8" ht="14.1" customHeight="1">
      <c r="A69" s="885">
        <v>65</v>
      </c>
      <c r="B69" s="886">
        <f t="shared" ref="B69:B100" si="4">(1+Diskontrate)^(-A69)</f>
        <v>0.27605068902177099</v>
      </c>
      <c r="C69" s="938" t="str">
        <f>IF(Innendurchmesser="","",Traktionsenergie!$D$26*(Parameter!$C$197+A69*BahnstrompreisZunahmeJahr))</f>
        <v/>
      </c>
      <c r="D69" s="938" t="e">
        <f t="shared" ref="D69:D132" si="5">C69*B69</f>
        <v>#VALUE!</v>
      </c>
      <c r="E69" s="938">
        <f>IF(A69&lt;Parameter!$C$199*IF(Betriebsjahre&lt;&gt;"",Betriebsjahre,Betriebsjahre_Default),Traktionsenergie!$D$26*Parameter!$C$112*Parameter!$C$201/1000,Traktionsenergie!$D$26*Parameter!$C$113*Parameter!$C$201/1000)</f>
        <v>0</v>
      </c>
      <c r="F69" s="938">
        <f t="shared" si="2"/>
        <v>0</v>
      </c>
      <c r="G69" s="938" t="e">
        <f>SUM(D$5:D69)</f>
        <v>#VALUE!</v>
      </c>
      <c r="H69" s="938">
        <f>SUM(F$5:F69)</f>
        <v>0</v>
      </c>
    </row>
    <row r="70" spans="1:8" ht="14.1" customHeight="1">
      <c r="A70" s="885">
        <v>66</v>
      </c>
      <c r="B70" s="886">
        <f t="shared" si="4"/>
        <v>0.27063793041350098</v>
      </c>
      <c r="C70" s="938" t="str">
        <f>IF(Innendurchmesser="","",Traktionsenergie!$D$26*(Parameter!$C$197+A70*BahnstrompreisZunahmeJahr))</f>
        <v/>
      </c>
      <c r="D70" s="938" t="e">
        <f t="shared" si="5"/>
        <v>#VALUE!</v>
      </c>
      <c r="E70" s="938">
        <f>IF(A70&lt;Parameter!$C$199*IF(Betriebsjahre&lt;&gt;"",Betriebsjahre,Betriebsjahre_Default),Traktionsenergie!$D$26*Parameter!$C$112*Parameter!$C$201/1000,Traktionsenergie!$D$26*Parameter!$C$113*Parameter!$C$201/1000)</f>
        <v>0</v>
      </c>
      <c r="F70" s="938">
        <f t="shared" ref="F70:F133" si="6">E70*B70</f>
        <v>0</v>
      </c>
      <c r="G70" s="938" t="e">
        <f>SUM(D$5:D70)</f>
        <v>#VALUE!</v>
      </c>
      <c r="H70" s="938">
        <f>SUM(F$5:F70)</f>
        <v>0</v>
      </c>
    </row>
    <row r="71" spans="1:8" ht="14.1" customHeight="1">
      <c r="A71" s="885">
        <v>67</v>
      </c>
      <c r="B71" s="886">
        <f t="shared" si="4"/>
        <v>0.26533130432696173</v>
      </c>
      <c r="C71" s="938" t="str">
        <f>IF(Innendurchmesser="","",Traktionsenergie!$D$26*(Parameter!$C$197+A71*BahnstrompreisZunahmeJahr))</f>
        <v/>
      </c>
      <c r="D71" s="938" t="e">
        <f t="shared" si="5"/>
        <v>#VALUE!</v>
      </c>
      <c r="E71" s="938">
        <f>IF(A71&lt;Parameter!$C$199*IF(Betriebsjahre&lt;&gt;"",Betriebsjahre,Betriebsjahre_Default),Traktionsenergie!$D$26*Parameter!$C$112*Parameter!$C$201/1000,Traktionsenergie!$D$26*Parameter!$C$113*Parameter!$C$201/1000)</f>
        <v>0</v>
      </c>
      <c r="F71" s="938">
        <f t="shared" si="6"/>
        <v>0</v>
      </c>
      <c r="G71" s="938" t="e">
        <f>SUM(D$5:D71)</f>
        <v>#VALUE!</v>
      </c>
      <c r="H71" s="938">
        <f>SUM(F$5:F71)</f>
        <v>0</v>
      </c>
    </row>
    <row r="72" spans="1:8" ht="14.1" customHeight="1">
      <c r="A72" s="885">
        <v>68</v>
      </c>
      <c r="B72" s="886">
        <f t="shared" si="4"/>
        <v>0.26012872973231543</v>
      </c>
      <c r="C72" s="938" t="str">
        <f>IF(Innendurchmesser="","",Traktionsenergie!$D$26*(Parameter!$C$197+A72*BahnstrompreisZunahmeJahr))</f>
        <v/>
      </c>
      <c r="D72" s="938" t="e">
        <f t="shared" si="5"/>
        <v>#VALUE!</v>
      </c>
      <c r="E72" s="938">
        <f>IF(A72&lt;Parameter!$C$199*IF(Betriebsjahre&lt;&gt;"",Betriebsjahre,Betriebsjahre_Default),Traktionsenergie!$D$26*Parameter!$C$112*Parameter!$C$201/1000,Traktionsenergie!$D$26*Parameter!$C$113*Parameter!$C$201/1000)</f>
        <v>0</v>
      </c>
      <c r="F72" s="938">
        <f t="shared" si="6"/>
        <v>0</v>
      </c>
      <c r="G72" s="938" t="e">
        <f>SUM(D$5:D72)</f>
        <v>#VALUE!</v>
      </c>
      <c r="H72" s="938">
        <f>SUM(F$5:F72)</f>
        <v>0</v>
      </c>
    </row>
    <row r="73" spans="1:8" ht="14.1" customHeight="1">
      <c r="A73" s="885">
        <v>69</v>
      </c>
      <c r="B73" s="886">
        <f t="shared" si="4"/>
        <v>0.25502816640423082</v>
      </c>
      <c r="C73" s="938" t="str">
        <f>IF(Innendurchmesser="","",Traktionsenergie!$D$26*(Parameter!$C$197+A73*BahnstrompreisZunahmeJahr))</f>
        <v/>
      </c>
      <c r="D73" s="938" t="e">
        <f t="shared" si="5"/>
        <v>#VALUE!</v>
      </c>
      <c r="E73" s="938">
        <f>IF(A73&lt;Parameter!$C$199*IF(Betriebsjahre&lt;&gt;"",Betriebsjahre,Betriebsjahre_Default),Traktionsenergie!$D$26*Parameter!$C$112*Parameter!$C$201/1000,Traktionsenergie!$D$26*Parameter!$C$113*Parameter!$C$201/1000)</f>
        <v>0</v>
      </c>
      <c r="F73" s="938">
        <f t="shared" si="6"/>
        <v>0</v>
      </c>
      <c r="G73" s="938" t="e">
        <f>SUM(D$5:D73)</f>
        <v>#VALUE!</v>
      </c>
      <c r="H73" s="938">
        <f>SUM(F$5:F73)</f>
        <v>0</v>
      </c>
    </row>
    <row r="74" spans="1:8" ht="14.1" customHeight="1">
      <c r="A74" s="885">
        <v>70</v>
      </c>
      <c r="B74" s="886">
        <f t="shared" si="4"/>
        <v>0.25002761412179492</v>
      </c>
      <c r="C74" s="938" t="str">
        <f>IF(Innendurchmesser="","",Traktionsenergie!$D$26*(Parameter!$C$197+A74*BahnstrompreisZunahmeJahr))</f>
        <v/>
      </c>
      <c r="D74" s="938" t="e">
        <f t="shared" si="5"/>
        <v>#VALUE!</v>
      </c>
      <c r="E74" s="938">
        <f>IF(A74&lt;Parameter!$C$199*IF(Betriebsjahre&lt;&gt;"",Betriebsjahre,Betriebsjahre_Default),Traktionsenergie!$D$26*Parameter!$C$112*Parameter!$C$201/1000,Traktionsenergie!$D$26*Parameter!$C$113*Parameter!$C$201/1000)</f>
        <v>0</v>
      </c>
      <c r="F74" s="938">
        <f t="shared" si="6"/>
        <v>0</v>
      </c>
      <c r="G74" s="938" t="e">
        <f>SUM(D$5:D74)</f>
        <v>#VALUE!</v>
      </c>
      <c r="H74" s="938">
        <f>SUM(F$5:F74)</f>
        <v>0</v>
      </c>
    </row>
    <row r="75" spans="1:8" ht="14.1" customHeight="1">
      <c r="A75" s="885">
        <v>71</v>
      </c>
      <c r="B75" s="886">
        <f t="shared" si="4"/>
        <v>0.24512511188411268</v>
      </c>
      <c r="C75" s="938" t="str">
        <f>IF(Innendurchmesser="","",Traktionsenergie!$D$26*(Parameter!$C$197+A75*BahnstrompreisZunahmeJahr))</f>
        <v/>
      </c>
      <c r="D75" s="938" t="e">
        <f t="shared" si="5"/>
        <v>#VALUE!</v>
      </c>
      <c r="E75" s="938">
        <f>IF(A75&lt;Parameter!$C$199*IF(Betriebsjahre&lt;&gt;"",Betriebsjahre,Betriebsjahre_Default),Traktionsenergie!$D$26*Parameter!$C$112*Parameter!$C$201/1000,Traktionsenergie!$D$26*Parameter!$C$113*Parameter!$C$201/1000)</f>
        <v>0</v>
      </c>
      <c r="F75" s="938">
        <f t="shared" si="6"/>
        <v>0</v>
      </c>
      <c r="G75" s="938" t="e">
        <f>SUM(D$5:D75)</f>
        <v>#VALUE!</v>
      </c>
      <c r="H75" s="938">
        <f>SUM(F$5:F75)</f>
        <v>0</v>
      </c>
    </row>
    <row r="76" spans="1:8" ht="14.1" customHeight="1">
      <c r="A76" s="885">
        <v>72</v>
      </c>
      <c r="B76" s="886">
        <f t="shared" si="4"/>
        <v>0.24031873714128693</v>
      </c>
      <c r="C76" s="938" t="str">
        <f>IF(Innendurchmesser="","",Traktionsenergie!$D$26*(Parameter!$C$197+A76*BahnstrompreisZunahmeJahr))</f>
        <v/>
      </c>
      <c r="D76" s="938" t="e">
        <f t="shared" si="5"/>
        <v>#VALUE!</v>
      </c>
      <c r="E76" s="938">
        <f>IF(A76&lt;Parameter!$C$199*IF(Betriebsjahre&lt;&gt;"",Betriebsjahre,Betriebsjahre_Default),Traktionsenergie!$D$26*Parameter!$C$112*Parameter!$C$201/1000,Traktionsenergie!$D$26*Parameter!$C$113*Parameter!$C$201/1000)</f>
        <v>0</v>
      </c>
      <c r="F76" s="938">
        <f t="shared" si="6"/>
        <v>0</v>
      </c>
      <c r="G76" s="938" t="e">
        <f>SUM(D$5:D76)</f>
        <v>#VALUE!</v>
      </c>
      <c r="H76" s="938">
        <f>SUM(F$5:F76)</f>
        <v>0</v>
      </c>
    </row>
    <row r="77" spans="1:8" ht="14.1" customHeight="1">
      <c r="A77" s="885">
        <v>73</v>
      </c>
      <c r="B77" s="886">
        <f t="shared" si="4"/>
        <v>0.2356066050404774</v>
      </c>
      <c r="C77" s="938" t="str">
        <f>IF(Innendurchmesser="","",Traktionsenergie!$D$26*(Parameter!$C$197+A77*BahnstrompreisZunahmeJahr))</f>
        <v/>
      </c>
      <c r="D77" s="938" t="e">
        <f t="shared" si="5"/>
        <v>#VALUE!</v>
      </c>
      <c r="E77" s="938">
        <f>IF(A77&lt;Parameter!$C$199*IF(Betriebsjahre&lt;&gt;"",Betriebsjahre,Betriebsjahre_Default),Traktionsenergie!$D$26*Parameter!$C$112*Parameter!$C$201/1000,Traktionsenergie!$D$26*Parameter!$C$113*Parameter!$C$201/1000)</f>
        <v>0</v>
      </c>
      <c r="F77" s="938">
        <f t="shared" si="6"/>
        <v>0</v>
      </c>
      <c r="G77" s="938" t="e">
        <f>SUM(D$5:D77)</f>
        <v>#VALUE!</v>
      </c>
      <c r="H77" s="938">
        <f>SUM(F$5:F77)</f>
        <v>0</v>
      </c>
    </row>
    <row r="78" spans="1:8" ht="14.1" customHeight="1">
      <c r="A78" s="885">
        <v>74</v>
      </c>
      <c r="B78" s="886">
        <f t="shared" si="4"/>
        <v>0.23098686768674251</v>
      </c>
      <c r="C78" s="938" t="str">
        <f>IF(Innendurchmesser="","",Traktionsenergie!$D$26*(Parameter!$C$197+A78*BahnstrompreisZunahmeJahr))</f>
        <v/>
      </c>
      <c r="D78" s="938" t="e">
        <f t="shared" si="5"/>
        <v>#VALUE!</v>
      </c>
      <c r="E78" s="938">
        <f>IF(A78&lt;Parameter!$C$199*IF(Betriebsjahre&lt;&gt;"",Betriebsjahre,Betriebsjahre_Default),Traktionsenergie!$D$26*Parameter!$C$112*Parameter!$C$201/1000,Traktionsenergie!$D$26*Parameter!$C$113*Parameter!$C$201/1000)</f>
        <v>0</v>
      </c>
      <c r="F78" s="938">
        <f t="shared" si="6"/>
        <v>0</v>
      </c>
      <c r="G78" s="938" t="e">
        <f>SUM(D$5:D78)</f>
        <v>#VALUE!</v>
      </c>
      <c r="H78" s="938">
        <f>SUM(F$5:F78)</f>
        <v>0</v>
      </c>
    </row>
    <row r="79" spans="1:8" ht="14.1" customHeight="1">
      <c r="A79" s="885">
        <v>75</v>
      </c>
      <c r="B79" s="886">
        <f t="shared" si="4"/>
        <v>0.22645771341837509</v>
      </c>
      <c r="C79" s="938" t="str">
        <f>IF(Innendurchmesser="","",Traktionsenergie!$D$26*(Parameter!$C$197+A79*BahnstrompreisZunahmeJahr))</f>
        <v/>
      </c>
      <c r="D79" s="938" t="e">
        <f t="shared" si="5"/>
        <v>#VALUE!</v>
      </c>
      <c r="E79" s="938">
        <f>IF(A79&lt;Parameter!$C$199*IF(Betriebsjahre&lt;&gt;"",Betriebsjahre,Betriebsjahre_Default),Traktionsenergie!$D$26*Parameter!$C$112*Parameter!$C$201/1000,Traktionsenergie!$D$26*Parameter!$C$113*Parameter!$C$201/1000)</f>
        <v>0</v>
      </c>
      <c r="F79" s="938">
        <f t="shared" si="6"/>
        <v>0</v>
      </c>
      <c r="G79" s="938" t="e">
        <f>SUM(D$5:D79)</f>
        <v>#VALUE!</v>
      </c>
      <c r="H79" s="938">
        <f>SUM(F$5:F79)</f>
        <v>0</v>
      </c>
    </row>
    <row r="80" spans="1:8" ht="14.1" customHeight="1">
      <c r="A80" s="885">
        <v>76</v>
      </c>
      <c r="B80" s="886">
        <f t="shared" si="4"/>
        <v>0.22201736609644609</v>
      </c>
      <c r="C80" s="938" t="str">
        <f>IF(Innendurchmesser="","",Traktionsenergie!$D$26*(Parameter!$C$197+A80*BahnstrompreisZunahmeJahr))</f>
        <v/>
      </c>
      <c r="D80" s="938" t="e">
        <f t="shared" si="5"/>
        <v>#VALUE!</v>
      </c>
      <c r="E80" s="938">
        <f>IF(A80&lt;Parameter!$C$199*IF(Betriebsjahre&lt;&gt;"",Betriebsjahre,Betriebsjahre_Default),Traktionsenergie!$D$26*Parameter!$C$112*Parameter!$C$201/1000,Traktionsenergie!$D$26*Parameter!$C$113*Parameter!$C$201/1000)</f>
        <v>0</v>
      </c>
      <c r="F80" s="938">
        <f t="shared" si="6"/>
        <v>0</v>
      </c>
      <c r="G80" s="938" t="e">
        <f>SUM(D$5:D80)</f>
        <v>#VALUE!</v>
      </c>
      <c r="H80" s="938">
        <f>SUM(F$5:F80)</f>
        <v>0</v>
      </c>
    </row>
    <row r="81" spans="1:8" ht="14.1" customHeight="1">
      <c r="A81" s="885">
        <v>77</v>
      </c>
      <c r="B81" s="886">
        <f t="shared" si="4"/>
        <v>0.2176640844082805</v>
      </c>
      <c r="C81" s="938" t="str">
        <f>IF(Innendurchmesser="","",Traktionsenergie!$D$26*(Parameter!$C$197+A81*BahnstrompreisZunahmeJahr))</f>
        <v/>
      </c>
      <c r="D81" s="938" t="e">
        <f t="shared" si="5"/>
        <v>#VALUE!</v>
      </c>
      <c r="E81" s="938">
        <f>IF(A81&lt;Parameter!$C$199*IF(Betriebsjahre&lt;&gt;"",Betriebsjahre,Betriebsjahre_Default),Traktionsenergie!$D$26*Parameter!$C$112*Parameter!$C$201/1000,Traktionsenergie!$D$26*Parameter!$C$113*Parameter!$C$201/1000)</f>
        <v>0</v>
      </c>
      <c r="F81" s="938">
        <f t="shared" si="6"/>
        <v>0</v>
      </c>
      <c r="G81" s="938" t="e">
        <f>SUM(D$5:D81)</f>
        <v>#VALUE!</v>
      </c>
      <c r="H81" s="938">
        <f>SUM(F$5:F81)</f>
        <v>0</v>
      </c>
    </row>
    <row r="82" spans="1:8" ht="14.1" customHeight="1">
      <c r="A82" s="885">
        <v>78</v>
      </c>
      <c r="B82" s="886">
        <f t="shared" si="4"/>
        <v>0.21339616118458871</v>
      </c>
      <c r="C82" s="938" t="str">
        <f>IF(Innendurchmesser="","",Traktionsenergie!$D$26*(Parameter!$C$197+A82*BahnstrompreisZunahmeJahr))</f>
        <v/>
      </c>
      <c r="D82" s="938" t="e">
        <f t="shared" si="5"/>
        <v>#VALUE!</v>
      </c>
      <c r="E82" s="938">
        <f>IF(A82&lt;Parameter!$C$199*IF(Betriebsjahre&lt;&gt;"",Betriebsjahre,Betriebsjahre_Default),Traktionsenergie!$D$26*Parameter!$C$112*Parameter!$C$201/1000,Traktionsenergie!$D$26*Parameter!$C$113*Parameter!$C$201/1000)</f>
        <v>0</v>
      </c>
      <c r="F82" s="938">
        <f t="shared" si="6"/>
        <v>0</v>
      </c>
      <c r="G82" s="938" t="e">
        <f>SUM(D$5:D82)</f>
        <v>#VALUE!</v>
      </c>
      <c r="H82" s="938">
        <f>SUM(F$5:F82)</f>
        <v>0</v>
      </c>
    </row>
    <row r="83" spans="1:8" ht="14.1" customHeight="1">
      <c r="A83" s="885">
        <v>79</v>
      </c>
      <c r="B83" s="886">
        <f t="shared" si="4"/>
        <v>0.20921192272998898</v>
      </c>
      <c r="C83" s="938" t="str">
        <f>IF(Innendurchmesser="","",Traktionsenergie!$D$26*(Parameter!$C$197+A83*BahnstrompreisZunahmeJahr))</f>
        <v/>
      </c>
      <c r="D83" s="938" t="e">
        <f t="shared" si="5"/>
        <v>#VALUE!</v>
      </c>
      <c r="E83" s="938">
        <f>IF(A83&lt;Parameter!$C$199*IF(Betriebsjahre&lt;&gt;"",Betriebsjahre,Betriebsjahre_Default),Traktionsenergie!$D$26*Parameter!$C$112*Parameter!$C$201/1000,Traktionsenergie!$D$26*Parameter!$C$113*Parameter!$C$201/1000)</f>
        <v>0</v>
      </c>
      <c r="F83" s="938">
        <f t="shared" si="6"/>
        <v>0</v>
      </c>
      <c r="G83" s="938" t="e">
        <f>SUM(D$5:D83)</f>
        <v>#VALUE!</v>
      </c>
      <c r="H83" s="938">
        <f>SUM(F$5:F83)</f>
        <v>0</v>
      </c>
    </row>
    <row r="84" spans="1:8" ht="14.1" customHeight="1">
      <c r="A84" s="885">
        <v>80</v>
      </c>
      <c r="B84" s="886">
        <f t="shared" si="4"/>
        <v>0.20510972816665585</v>
      </c>
      <c r="C84" s="938" t="str">
        <f>IF(Innendurchmesser="","",Traktionsenergie!$D$26*(Parameter!$C$197+A84*BahnstrompreisZunahmeJahr))</f>
        <v/>
      </c>
      <c r="D84" s="938" t="e">
        <f t="shared" si="5"/>
        <v>#VALUE!</v>
      </c>
      <c r="E84" s="938">
        <f>IF(A84&lt;Parameter!$C$199*IF(Betriebsjahre&lt;&gt;"",Betriebsjahre,Betriebsjahre_Default),Traktionsenergie!$D$26*Parameter!$C$112*Parameter!$C$201/1000,Traktionsenergie!$D$26*Parameter!$C$113*Parameter!$C$201/1000)</f>
        <v>0</v>
      </c>
      <c r="F84" s="938">
        <f t="shared" si="6"/>
        <v>0</v>
      </c>
      <c r="G84" s="938" t="e">
        <f>SUM(D$5:D84)</f>
        <v>#VALUE!</v>
      </c>
      <c r="H84" s="938">
        <f>SUM(F$5:F84)</f>
        <v>0</v>
      </c>
    </row>
    <row r="85" spans="1:8" ht="14.1" customHeight="1">
      <c r="A85" s="885">
        <v>81</v>
      </c>
      <c r="B85" s="886">
        <f t="shared" si="4"/>
        <v>0.20108796879083907</v>
      </c>
      <c r="C85" s="938" t="str">
        <f>IF(Innendurchmesser="","",Traktionsenergie!$D$26*(Parameter!$C$197+A85*BahnstrompreisZunahmeJahr))</f>
        <v/>
      </c>
      <c r="D85" s="938" t="e">
        <f t="shared" si="5"/>
        <v>#VALUE!</v>
      </c>
      <c r="E85" s="938">
        <f>IF(A85&lt;Parameter!$C$199*IF(Betriebsjahre&lt;&gt;"",Betriebsjahre,Betriebsjahre_Default),Traktionsenergie!$D$26*Parameter!$C$112*Parameter!$C$201/1000,Traktionsenergie!$D$26*Parameter!$C$113*Parameter!$C$201/1000)</f>
        <v>0</v>
      </c>
      <c r="F85" s="938">
        <f t="shared" si="6"/>
        <v>0</v>
      </c>
      <c r="G85" s="938" t="e">
        <f>SUM(D$5:D85)</f>
        <v>#VALUE!</v>
      </c>
      <c r="H85" s="938">
        <f>SUM(F$5:F85)</f>
        <v>0</v>
      </c>
    </row>
    <row r="86" spans="1:8" ht="14.1" customHeight="1">
      <c r="A86" s="885">
        <v>82</v>
      </c>
      <c r="B86" s="886">
        <f t="shared" si="4"/>
        <v>0.19714506744199911</v>
      </c>
      <c r="C86" s="938" t="str">
        <f>IF(Innendurchmesser="","",Traktionsenergie!$D$26*(Parameter!$C$197+A86*BahnstrompreisZunahmeJahr))</f>
        <v/>
      </c>
      <c r="D86" s="938" t="e">
        <f t="shared" si="5"/>
        <v>#VALUE!</v>
      </c>
      <c r="E86" s="938">
        <f>IF(A86&lt;Parameter!$C$199*IF(Betriebsjahre&lt;&gt;"",Betriebsjahre,Betriebsjahre_Default),Traktionsenergie!$D$26*Parameter!$C$112*Parameter!$C$201/1000,Traktionsenergie!$D$26*Parameter!$C$113*Parameter!$C$201/1000)</f>
        <v>0</v>
      </c>
      <c r="F86" s="938">
        <f t="shared" si="6"/>
        <v>0</v>
      </c>
      <c r="G86" s="938" t="e">
        <f>SUM(D$5:D86)</f>
        <v>#VALUE!</v>
      </c>
      <c r="H86" s="938">
        <f>SUM(F$5:F86)</f>
        <v>0</v>
      </c>
    </row>
    <row r="87" spans="1:8" ht="14.1" customHeight="1">
      <c r="A87" s="885">
        <v>83</v>
      </c>
      <c r="B87" s="886">
        <f t="shared" si="4"/>
        <v>0.19327947788431285</v>
      </c>
      <c r="C87" s="938" t="str">
        <f>IF(Innendurchmesser="","",Traktionsenergie!$D$26*(Parameter!$C$197+A87*BahnstrompreisZunahmeJahr))</f>
        <v/>
      </c>
      <c r="D87" s="938" t="e">
        <f t="shared" si="5"/>
        <v>#VALUE!</v>
      </c>
      <c r="E87" s="938">
        <f>IF(A87&lt;Parameter!$C$199*IF(Betriebsjahre&lt;&gt;"",Betriebsjahre,Betriebsjahre_Default),Traktionsenergie!$D$26*Parameter!$C$112*Parameter!$C$201/1000,Traktionsenergie!$D$26*Parameter!$C$113*Parameter!$C$201/1000)</f>
        <v>0</v>
      </c>
      <c r="F87" s="938">
        <f t="shared" si="6"/>
        <v>0</v>
      </c>
      <c r="G87" s="938" t="e">
        <f>SUM(D$5:D87)</f>
        <v>#VALUE!</v>
      </c>
      <c r="H87" s="938">
        <f>SUM(F$5:F87)</f>
        <v>0</v>
      </c>
    </row>
    <row r="88" spans="1:8" ht="14.1" customHeight="1">
      <c r="A88" s="885">
        <v>84</v>
      </c>
      <c r="B88" s="886">
        <f t="shared" si="4"/>
        <v>0.18948968420030671</v>
      </c>
      <c r="C88" s="938" t="str">
        <f>IF(Innendurchmesser="","",Traktionsenergie!$D$26*(Parameter!$C$197+A88*BahnstrompreisZunahmeJahr))</f>
        <v/>
      </c>
      <c r="D88" s="938" t="e">
        <f t="shared" si="5"/>
        <v>#VALUE!</v>
      </c>
      <c r="E88" s="938">
        <f>IF(A88&lt;Parameter!$C$199*IF(Betriebsjahre&lt;&gt;"",Betriebsjahre,Betriebsjahre_Default),Traktionsenergie!$D$26*Parameter!$C$112*Parameter!$C$201/1000,Traktionsenergie!$D$26*Parameter!$C$113*Parameter!$C$201/1000)</f>
        <v>0</v>
      </c>
      <c r="F88" s="938">
        <f t="shared" si="6"/>
        <v>0</v>
      </c>
      <c r="G88" s="938" t="e">
        <f>SUM(D$5:D88)</f>
        <v>#VALUE!</v>
      </c>
      <c r="H88" s="938">
        <f>SUM(F$5:F88)</f>
        <v>0</v>
      </c>
    </row>
    <row r="89" spans="1:8" ht="14.1" customHeight="1">
      <c r="A89" s="885">
        <v>85</v>
      </c>
      <c r="B89" s="886">
        <f t="shared" si="4"/>
        <v>0.18577420019637911</v>
      </c>
      <c r="C89" s="938" t="str">
        <f>IF(Innendurchmesser="","",Traktionsenergie!$D$26*(Parameter!$C$197+A89*BahnstrompreisZunahmeJahr))</f>
        <v/>
      </c>
      <c r="D89" s="938" t="e">
        <f t="shared" si="5"/>
        <v>#VALUE!</v>
      </c>
      <c r="E89" s="938">
        <f>IF(A89&lt;Parameter!$C$199*IF(Betriebsjahre&lt;&gt;"",Betriebsjahre,Betriebsjahre_Default),Traktionsenergie!$D$26*Parameter!$C$112*Parameter!$C$201/1000,Traktionsenergie!$D$26*Parameter!$C$113*Parameter!$C$201/1000)</f>
        <v>0</v>
      </c>
      <c r="F89" s="938">
        <f t="shared" si="6"/>
        <v>0</v>
      </c>
      <c r="G89" s="938" t="e">
        <f>SUM(D$5:D89)</f>
        <v>#VALUE!</v>
      </c>
      <c r="H89" s="938">
        <f>SUM(F$5:F89)</f>
        <v>0</v>
      </c>
    </row>
    <row r="90" spans="1:8" ht="14.1" customHeight="1">
      <c r="A90" s="885">
        <v>86</v>
      </c>
      <c r="B90" s="886">
        <f t="shared" si="4"/>
        <v>0.18213156881997952</v>
      </c>
      <c r="C90" s="938" t="str">
        <f>IF(Innendurchmesser="","",Traktionsenergie!$D$26*(Parameter!$C$197+A90*BahnstrompreisZunahmeJahr))</f>
        <v/>
      </c>
      <c r="D90" s="938" t="e">
        <f t="shared" si="5"/>
        <v>#VALUE!</v>
      </c>
      <c r="E90" s="938">
        <f>IF(A90&lt;Parameter!$C$199*IF(Betriebsjahre&lt;&gt;"",Betriebsjahre,Betriebsjahre_Default),Traktionsenergie!$D$26*Parameter!$C$112*Parameter!$C$201/1000,Traktionsenergie!$D$26*Parameter!$C$113*Parameter!$C$201/1000)</f>
        <v>0</v>
      </c>
      <c r="F90" s="938">
        <f t="shared" si="6"/>
        <v>0</v>
      </c>
      <c r="G90" s="938" t="e">
        <f>SUM(D$5:D90)</f>
        <v>#VALUE!</v>
      </c>
      <c r="H90" s="938">
        <f>SUM(F$5:F90)</f>
        <v>0</v>
      </c>
    </row>
    <row r="91" spans="1:8" ht="14.1" customHeight="1">
      <c r="A91" s="885">
        <v>87</v>
      </c>
      <c r="B91" s="886">
        <f t="shared" si="4"/>
        <v>0.17856036158821526</v>
      </c>
      <c r="C91" s="938" t="str">
        <f>IF(Innendurchmesser="","",Traktionsenergie!$D$26*(Parameter!$C$197+A91*BahnstrompreisZunahmeJahr))</f>
        <v/>
      </c>
      <c r="D91" s="938" t="e">
        <f t="shared" si="5"/>
        <v>#VALUE!</v>
      </c>
      <c r="E91" s="938">
        <f>IF(A91&lt;Parameter!$C$199*IF(Betriebsjahre&lt;&gt;"",Betriebsjahre,Betriebsjahre_Default),Traktionsenergie!$D$26*Parameter!$C$112*Parameter!$C$201/1000,Traktionsenergie!$D$26*Parameter!$C$113*Parameter!$C$201/1000)</f>
        <v>0</v>
      </c>
      <c r="F91" s="938">
        <f t="shared" si="6"/>
        <v>0</v>
      </c>
      <c r="G91" s="938" t="e">
        <f>SUM(D$5:D91)</f>
        <v>#VALUE!</v>
      </c>
      <c r="H91" s="938">
        <f>SUM(F$5:F91)</f>
        <v>0</v>
      </c>
    </row>
    <row r="92" spans="1:8" ht="14.1" customHeight="1">
      <c r="A92" s="885">
        <v>88</v>
      </c>
      <c r="B92" s="886">
        <f t="shared" si="4"/>
        <v>0.17505917802766199</v>
      </c>
      <c r="C92" s="938" t="str">
        <f>IF(Innendurchmesser="","",Traktionsenergie!$D$26*(Parameter!$C$197+A92*BahnstrompreisZunahmeJahr))</f>
        <v/>
      </c>
      <c r="D92" s="938" t="e">
        <f t="shared" si="5"/>
        <v>#VALUE!</v>
      </c>
      <c r="E92" s="938">
        <f>IF(A92&lt;Parameter!$C$199*IF(Betriebsjahre&lt;&gt;"",Betriebsjahre,Betriebsjahre_Default),Traktionsenergie!$D$26*Parameter!$C$112*Parameter!$C$201/1000,Traktionsenergie!$D$26*Parameter!$C$113*Parameter!$C$201/1000)</f>
        <v>0</v>
      </c>
      <c r="F92" s="938">
        <f t="shared" si="6"/>
        <v>0</v>
      </c>
      <c r="G92" s="938" t="e">
        <f>SUM(D$5:D92)</f>
        <v>#VALUE!</v>
      </c>
      <c r="H92" s="938">
        <f>SUM(F$5:F92)</f>
        <v>0</v>
      </c>
    </row>
    <row r="93" spans="1:8" ht="14.1" customHeight="1">
      <c r="A93" s="885">
        <v>89</v>
      </c>
      <c r="B93" s="886">
        <f t="shared" si="4"/>
        <v>0.17162664512515882</v>
      </c>
      <c r="C93" s="938" t="str">
        <f>IF(Innendurchmesser="","",Traktionsenergie!$D$26*(Parameter!$C$197+A93*BahnstrompreisZunahmeJahr))</f>
        <v/>
      </c>
      <c r="D93" s="938" t="e">
        <f t="shared" si="5"/>
        <v>#VALUE!</v>
      </c>
      <c r="E93" s="938">
        <f>IF(A93&lt;Parameter!$C$199*IF(Betriebsjahre&lt;&gt;"",Betriebsjahre,Betriebsjahre_Default),Traktionsenergie!$D$26*Parameter!$C$112*Parameter!$C$201/1000,Traktionsenergie!$D$26*Parameter!$C$113*Parameter!$C$201/1000)</f>
        <v>0</v>
      </c>
      <c r="F93" s="938">
        <f t="shared" si="6"/>
        <v>0</v>
      </c>
      <c r="G93" s="938" t="e">
        <f>SUM(D$5:D93)</f>
        <v>#VALUE!</v>
      </c>
      <c r="H93" s="938">
        <f>SUM(F$5:F93)</f>
        <v>0</v>
      </c>
    </row>
    <row r="94" spans="1:8" ht="14.1" customHeight="1">
      <c r="A94" s="885">
        <v>90</v>
      </c>
      <c r="B94" s="886">
        <f t="shared" si="4"/>
        <v>0.16826141678937137</v>
      </c>
      <c r="C94" s="938" t="str">
        <f>IF(Innendurchmesser="","",Traktionsenergie!$D$26*(Parameter!$C$197+A94*BahnstrompreisZunahmeJahr))</f>
        <v/>
      </c>
      <c r="D94" s="938" t="e">
        <f t="shared" si="5"/>
        <v>#VALUE!</v>
      </c>
      <c r="E94" s="938">
        <f>IF(A94&lt;Parameter!$C$199*IF(Betriebsjahre&lt;&gt;"",Betriebsjahre,Betriebsjahre_Default),Traktionsenergie!$D$26*Parameter!$C$112*Parameter!$C$201/1000,Traktionsenergie!$D$26*Parameter!$C$113*Parameter!$C$201/1000)</f>
        <v>0</v>
      </c>
      <c r="F94" s="938">
        <f t="shared" si="6"/>
        <v>0</v>
      </c>
      <c r="G94" s="938" t="e">
        <f>SUM(D$5:D94)</f>
        <v>#VALUE!</v>
      </c>
      <c r="H94" s="938">
        <f>SUM(F$5:F94)</f>
        <v>0</v>
      </c>
    </row>
    <row r="95" spans="1:8" ht="14.1" customHeight="1">
      <c r="A95" s="885">
        <v>91</v>
      </c>
      <c r="B95" s="886">
        <f t="shared" si="4"/>
        <v>0.16496217332291313</v>
      </c>
      <c r="C95" s="938" t="str">
        <f>IF(Innendurchmesser="","",Traktionsenergie!$D$26*(Parameter!$C$197+A95*BahnstrompreisZunahmeJahr))</f>
        <v/>
      </c>
      <c r="D95" s="938" t="e">
        <f t="shared" si="5"/>
        <v>#VALUE!</v>
      </c>
      <c r="E95" s="938">
        <f>IF(A95&lt;Parameter!$C$199*IF(Betriebsjahre&lt;&gt;"",Betriebsjahre,Betriebsjahre_Default),Traktionsenergie!$D$26*Parameter!$C$112*Parameter!$C$201/1000,Traktionsenergie!$D$26*Parameter!$C$113*Parameter!$C$201/1000)</f>
        <v>0</v>
      </c>
      <c r="F95" s="938">
        <f t="shared" si="6"/>
        <v>0</v>
      </c>
      <c r="G95" s="938" t="e">
        <f>SUM(D$5:D95)</f>
        <v>#VALUE!</v>
      </c>
      <c r="H95" s="938">
        <f>SUM(F$5:F95)</f>
        <v>0</v>
      </c>
    </row>
    <row r="96" spans="1:8" ht="14.1" customHeight="1">
      <c r="A96" s="885">
        <v>92</v>
      </c>
      <c r="B96" s="886">
        <f t="shared" si="4"/>
        <v>0.16172762090481677</v>
      </c>
      <c r="C96" s="938" t="str">
        <f>IF(Innendurchmesser="","",Traktionsenergie!$D$26*(Parameter!$C$197+A96*BahnstrompreisZunahmeJahr))</f>
        <v/>
      </c>
      <c r="D96" s="938" t="e">
        <f t="shared" si="5"/>
        <v>#VALUE!</v>
      </c>
      <c r="E96" s="938">
        <f>IF(A96&lt;Parameter!$C$199*IF(Betriebsjahre&lt;&gt;"",Betriebsjahre,Betriebsjahre_Default),Traktionsenergie!$D$26*Parameter!$C$112*Parameter!$C$201/1000,Traktionsenergie!$D$26*Parameter!$C$113*Parameter!$C$201/1000)</f>
        <v>0</v>
      </c>
      <c r="F96" s="938">
        <f t="shared" si="6"/>
        <v>0</v>
      </c>
      <c r="G96" s="938" t="e">
        <f>SUM(D$5:D96)</f>
        <v>#VALUE!</v>
      </c>
      <c r="H96" s="938">
        <f>SUM(F$5:F96)</f>
        <v>0</v>
      </c>
    </row>
    <row r="97" spans="1:8" ht="14.1" customHeight="1">
      <c r="A97" s="885">
        <v>93</v>
      </c>
      <c r="B97" s="886">
        <f t="shared" si="4"/>
        <v>0.15855649108315373</v>
      </c>
      <c r="C97" s="938" t="str">
        <f>IF(Innendurchmesser="","",Traktionsenergie!$D$26*(Parameter!$C$197+A97*BahnstrompreisZunahmeJahr))</f>
        <v/>
      </c>
      <c r="D97" s="938" t="e">
        <f t="shared" si="5"/>
        <v>#VALUE!</v>
      </c>
      <c r="E97" s="938">
        <f>IF(A97&lt;Parameter!$C$199*IF(Betriebsjahre&lt;&gt;"",Betriebsjahre,Betriebsjahre_Default),Traktionsenergie!$D$26*Parameter!$C$112*Parameter!$C$201/1000,Traktionsenergie!$D$26*Parameter!$C$113*Parameter!$C$201/1000)</f>
        <v>0</v>
      </c>
      <c r="F97" s="938">
        <f t="shared" si="6"/>
        <v>0</v>
      </c>
      <c r="G97" s="938" t="e">
        <f>SUM(D$5:D97)</f>
        <v>#VALUE!</v>
      </c>
      <c r="H97" s="938">
        <f>SUM(F$5:F97)</f>
        <v>0</v>
      </c>
    </row>
    <row r="98" spans="1:8" ht="14.1" customHeight="1">
      <c r="A98" s="885">
        <v>94</v>
      </c>
      <c r="B98" s="886">
        <f t="shared" si="4"/>
        <v>0.15544754027760166</v>
      </c>
      <c r="C98" s="938" t="str">
        <f>IF(Innendurchmesser="","",Traktionsenergie!$D$26*(Parameter!$C$197+A98*BahnstrompreisZunahmeJahr))</f>
        <v/>
      </c>
      <c r="D98" s="938" t="e">
        <f t="shared" si="5"/>
        <v>#VALUE!</v>
      </c>
      <c r="E98" s="938">
        <f>IF(A98&lt;Parameter!$C$199*IF(Betriebsjahre&lt;&gt;"",Betriebsjahre,Betriebsjahre_Default),Traktionsenergie!$D$26*Parameter!$C$112*Parameter!$C$201/1000,Traktionsenergie!$D$26*Parameter!$C$113*Parameter!$C$201/1000)</f>
        <v>0</v>
      </c>
      <c r="F98" s="938">
        <f t="shared" si="6"/>
        <v>0</v>
      </c>
      <c r="G98" s="938" t="e">
        <f>SUM(D$5:D98)</f>
        <v>#VALUE!</v>
      </c>
      <c r="H98" s="938">
        <f>SUM(F$5:F98)</f>
        <v>0</v>
      </c>
    </row>
    <row r="99" spans="1:8" ht="14.1" customHeight="1">
      <c r="A99" s="885">
        <v>95</v>
      </c>
      <c r="B99" s="886">
        <f t="shared" si="4"/>
        <v>0.15239954929176638</v>
      </c>
      <c r="C99" s="938" t="str">
        <f>IF(Innendurchmesser="","",Traktionsenergie!$D$26*(Parameter!$C$197+A99*BahnstrompreisZunahmeJahr))</f>
        <v/>
      </c>
      <c r="D99" s="938" t="e">
        <f t="shared" si="5"/>
        <v>#VALUE!</v>
      </c>
      <c r="E99" s="938">
        <f>IF(A99&lt;Parameter!$C$199*IF(Betriebsjahre&lt;&gt;"",Betriebsjahre,Betriebsjahre_Default),Traktionsenergie!$D$26*Parameter!$C$112*Parameter!$C$201/1000,Traktionsenergie!$D$26*Parameter!$C$113*Parameter!$C$201/1000)</f>
        <v>0</v>
      </c>
      <c r="F99" s="938">
        <f t="shared" si="6"/>
        <v>0</v>
      </c>
      <c r="G99" s="938" t="e">
        <f>SUM(D$5:D99)</f>
        <v>#VALUE!</v>
      </c>
      <c r="H99" s="938">
        <f>SUM(F$5:F99)</f>
        <v>0</v>
      </c>
    </row>
    <row r="100" spans="1:8" ht="14.1" customHeight="1">
      <c r="A100" s="885">
        <v>96</v>
      </c>
      <c r="B100" s="886">
        <f t="shared" si="4"/>
        <v>0.14941132283506506</v>
      </c>
      <c r="C100" s="938" t="str">
        <f>IF(Innendurchmesser="","",Traktionsenergie!$D$26*(Parameter!$C$197+A100*BahnstrompreisZunahmeJahr))</f>
        <v/>
      </c>
      <c r="D100" s="938" t="e">
        <f t="shared" si="5"/>
        <v>#VALUE!</v>
      </c>
      <c r="E100" s="938">
        <f>IF(A100&lt;Parameter!$C$199*IF(Betriebsjahre&lt;&gt;"",Betriebsjahre,Betriebsjahre_Default),Traktionsenergie!$D$26*Parameter!$C$112*Parameter!$C$201/1000,Traktionsenergie!$D$26*Parameter!$C$113*Parameter!$C$201/1000)</f>
        <v>0</v>
      </c>
      <c r="F100" s="938">
        <f t="shared" si="6"/>
        <v>0</v>
      </c>
      <c r="G100" s="938" t="e">
        <f>SUM(D$5:D100)</f>
        <v>#VALUE!</v>
      </c>
      <c r="H100" s="938">
        <f>SUM(F$5:F100)</f>
        <v>0</v>
      </c>
    </row>
    <row r="101" spans="1:8" ht="14.1" customHeight="1">
      <c r="A101" s="885">
        <v>97</v>
      </c>
      <c r="B101" s="886">
        <f t="shared" ref="B101:B132" si="7">(1+Diskontrate)^(-A101)</f>
        <v>0.14648168905398534</v>
      </c>
      <c r="C101" s="938" t="str">
        <f>IF(Innendurchmesser="","",Traktionsenergie!$D$26*(Parameter!$C$197+A101*BahnstrompreisZunahmeJahr))</f>
        <v/>
      </c>
      <c r="D101" s="938" t="e">
        <f t="shared" si="5"/>
        <v>#VALUE!</v>
      </c>
      <c r="E101" s="938">
        <f>IF(A101&lt;Parameter!$C$199*IF(Betriebsjahre&lt;&gt;"",Betriebsjahre,Betriebsjahre_Default),Traktionsenergie!$D$26*Parameter!$C$112*Parameter!$C$201/1000,Traktionsenergie!$D$26*Parameter!$C$113*Parameter!$C$201/1000)</f>
        <v>0</v>
      </c>
      <c r="F101" s="938">
        <f t="shared" si="6"/>
        <v>0</v>
      </c>
      <c r="G101" s="938" t="e">
        <f>SUM(D$5:D101)</f>
        <v>#VALUE!</v>
      </c>
      <c r="H101" s="938">
        <f>SUM(F$5:F101)</f>
        <v>0</v>
      </c>
    </row>
    <row r="102" spans="1:8" ht="14.1" customHeight="1">
      <c r="A102" s="885">
        <v>98</v>
      </c>
      <c r="B102" s="886">
        <f t="shared" si="7"/>
        <v>0.14360949907253467</v>
      </c>
      <c r="C102" s="938" t="str">
        <f>IF(Innendurchmesser="","",Traktionsenergie!$D$26*(Parameter!$C$197+A102*BahnstrompreisZunahmeJahr))</f>
        <v/>
      </c>
      <c r="D102" s="938" t="e">
        <f t="shared" si="5"/>
        <v>#VALUE!</v>
      </c>
      <c r="E102" s="938">
        <f>IF(A102&lt;Parameter!$C$199*IF(Betriebsjahre&lt;&gt;"",Betriebsjahre,Betriebsjahre_Default),Traktionsenergie!$D$26*Parameter!$C$112*Parameter!$C$201/1000,Traktionsenergie!$D$26*Parameter!$C$113*Parameter!$C$201/1000)</f>
        <v>0</v>
      </c>
      <c r="F102" s="938">
        <f t="shared" si="6"/>
        <v>0</v>
      </c>
      <c r="G102" s="938" t="e">
        <f>SUM(D$5:D102)</f>
        <v>#VALUE!</v>
      </c>
      <c r="H102" s="938">
        <f>SUM(F$5:F102)</f>
        <v>0</v>
      </c>
    </row>
    <row r="103" spans="1:8" ht="14.1" customHeight="1">
      <c r="A103" s="885">
        <v>99</v>
      </c>
      <c r="B103" s="886">
        <f t="shared" si="7"/>
        <v>0.14079362654170063</v>
      </c>
      <c r="C103" s="938" t="str">
        <f>IF(Innendurchmesser="","",Traktionsenergie!$D$26*(Parameter!$C$197+A103*BahnstrompreisZunahmeJahr))</f>
        <v/>
      </c>
      <c r="D103" s="938" t="e">
        <f t="shared" si="5"/>
        <v>#VALUE!</v>
      </c>
      <c r="E103" s="938">
        <f>IF(A103&lt;Parameter!$C$199*IF(Betriebsjahre&lt;&gt;"",Betriebsjahre,Betriebsjahre_Default),Traktionsenergie!$D$26*Parameter!$C$112*Parameter!$C$201/1000,Traktionsenergie!$D$26*Parameter!$C$113*Parameter!$C$201/1000)</f>
        <v>0</v>
      </c>
      <c r="F103" s="938">
        <f t="shared" si="6"/>
        <v>0</v>
      </c>
      <c r="G103" s="938" t="e">
        <f>SUM(D$5:D103)</f>
        <v>#VALUE!</v>
      </c>
      <c r="H103" s="938">
        <f>SUM(F$5:F103)</f>
        <v>0</v>
      </c>
    </row>
    <row r="104" spans="1:8" ht="14.1" customHeight="1">
      <c r="A104" s="885">
        <v>100</v>
      </c>
      <c r="B104" s="886">
        <f t="shared" si="7"/>
        <v>0.13803296719774574</v>
      </c>
      <c r="C104" s="938" t="str">
        <f>IF(Innendurchmesser="","",Traktionsenergie!$D$26*(Parameter!$C$197+A104*BahnstrompreisZunahmeJahr))</f>
        <v/>
      </c>
      <c r="D104" s="938" t="e">
        <f t="shared" si="5"/>
        <v>#VALUE!</v>
      </c>
      <c r="E104" s="938">
        <f>IF(A104&lt;Parameter!$C$199*IF(Betriebsjahre&lt;&gt;"",Betriebsjahre,Betriebsjahre_Default),Traktionsenergie!$D$26*Parameter!$C$112*Parameter!$C$201/1000,Traktionsenergie!$D$26*Parameter!$C$113*Parameter!$C$201/1000)</f>
        <v>0</v>
      </c>
      <c r="F104" s="938">
        <f t="shared" si="6"/>
        <v>0</v>
      </c>
      <c r="G104" s="938" t="e">
        <f>SUM(D$5:D104)</f>
        <v>#VALUE!</v>
      </c>
      <c r="H104" s="938">
        <f>SUM(F$5:F104)</f>
        <v>0</v>
      </c>
    </row>
    <row r="105" spans="1:8" ht="14.1" customHeight="1">
      <c r="A105" s="885">
        <v>101</v>
      </c>
      <c r="B105" s="886">
        <f t="shared" si="7"/>
        <v>0.13532643842916248</v>
      </c>
      <c r="C105" s="938" t="str">
        <f>IF(Innendurchmesser="","",Traktionsenergie!$D$26*(Parameter!$C$197+A105*BahnstrompreisZunahmeJahr))</f>
        <v/>
      </c>
      <c r="D105" s="938" t="e">
        <f t="shared" si="5"/>
        <v>#VALUE!</v>
      </c>
      <c r="E105" s="938">
        <f>IF(A105&lt;Parameter!$C$199*IF(Betriebsjahre&lt;&gt;"",Betriebsjahre,Betriebsjahre_Default),Traktionsenergie!$D$26*Parameter!$C$112*Parameter!$C$201/1000,Traktionsenergie!$D$26*Parameter!$C$113*Parameter!$C$201/1000)</f>
        <v>0</v>
      </c>
      <c r="F105" s="938">
        <f t="shared" si="6"/>
        <v>0</v>
      </c>
      <c r="G105" s="938" t="e">
        <f>SUM(D$5:D105)</f>
        <v>#VALUE!</v>
      </c>
      <c r="H105" s="938">
        <f>SUM(F$5:F105)</f>
        <v>0</v>
      </c>
    </row>
    <row r="106" spans="1:8" ht="14.1" customHeight="1">
      <c r="A106" s="885">
        <v>102</v>
      </c>
      <c r="B106" s="886">
        <f t="shared" si="7"/>
        <v>0.13267297885212007</v>
      </c>
      <c r="C106" s="938" t="str">
        <f>IF(Innendurchmesser="","",Traktionsenergie!$D$26*(Parameter!$C$197+A106*BahnstrompreisZunahmeJahr))</f>
        <v/>
      </c>
      <c r="D106" s="938" t="e">
        <f t="shared" si="5"/>
        <v>#VALUE!</v>
      </c>
      <c r="E106" s="938">
        <f>IF(A106&lt;Parameter!$C$199*IF(Betriebsjahre&lt;&gt;"",Betriebsjahre,Betriebsjahre_Default),Traktionsenergie!$D$26*Parameter!$C$112*Parameter!$C$201/1000,Traktionsenergie!$D$26*Parameter!$C$113*Parameter!$C$201/1000)</f>
        <v>0</v>
      </c>
      <c r="F106" s="938">
        <f t="shared" si="6"/>
        <v>0</v>
      </c>
      <c r="G106" s="938" t="e">
        <f>SUM(D$5:D106)</f>
        <v>#VALUE!</v>
      </c>
      <c r="H106" s="938">
        <f>SUM(F$5:F106)</f>
        <v>0</v>
      </c>
    </row>
    <row r="107" spans="1:8" ht="14.1" customHeight="1">
      <c r="A107" s="885">
        <v>103</v>
      </c>
      <c r="B107" s="886">
        <f t="shared" si="7"/>
        <v>0.13007154789423539</v>
      </c>
      <c r="C107" s="938" t="str">
        <f>IF(Innendurchmesser="","",Traktionsenergie!$D$26*(Parameter!$C$197+A107*BahnstrompreisZunahmeJahr))</f>
        <v/>
      </c>
      <c r="D107" s="938" t="e">
        <f t="shared" si="5"/>
        <v>#VALUE!</v>
      </c>
      <c r="E107" s="938">
        <f>IF(A107&lt;Parameter!$C$199*IF(Betriebsjahre&lt;&gt;"",Betriebsjahre,Betriebsjahre_Default),Traktionsenergie!$D$26*Parameter!$C$112*Parameter!$C$201/1000,Traktionsenergie!$D$26*Parameter!$C$113*Parameter!$C$201/1000)</f>
        <v>0</v>
      </c>
      <c r="F107" s="938">
        <f t="shared" si="6"/>
        <v>0</v>
      </c>
      <c r="G107" s="938" t="e">
        <f>SUM(D$5:D107)</f>
        <v>#VALUE!</v>
      </c>
      <c r="H107" s="938">
        <f>SUM(F$5:F107)</f>
        <v>0</v>
      </c>
    </row>
    <row r="108" spans="1:8" ht="14.1" customHeight="1">
      <c r="A108" s="885">
        <v>104</v>
      </c>
      <c r="B108" s="886">
        <f t="shared" si="7"/>
        <v>0.12752112538650526</v>
      </c>
      <c r="C108" s="938" t="str">
        <f>IF(Innendurchmesser="","",Traktionsenergie!$D$26*(Parameter!$C$197+A108*BahnstrompreisZunahmeJahr))</f>
        <v/>
      </c>
      <c r="D108" s="938" t="e">
        <f t="shared" si="5"/>
        <v>#VALUE!</v>
      </c>
      <c r="E108" s="938">
        <f>IF(A108&lt;Parameter!$C$199*IF(Betriebsjahre&lt;&gt;"",Betriebsjahre,Betriebsjahre_Default),Traktionsenergie!$D$26*Parameter!$C$112*Parameter!$C$201/1000,Traktionsenergie!$D$26*Parameter!$C$113*Parameter!$C$201/1000)</f>
        <v>0</v>
      </c>
      <c r="F108" s="938">
        <f t="shared" si="6"/>
        <v>0</v>
      </c>
      <c r="G108" s="938" t="e">
        <f>SUM(D$5:D108)</f>
        <v>#VALUE!</v>
      </c>
      <c r="H108" s="938">
        <f>SUM(F$5:F108)</f>
        <v>0</v>
      </c>
    </row>
    <row r="109" spans="1:8" ht="14.1" customHeight="1">
      <c r="A109" s="885">
        <v>105</v>
      </c>
      <c r="B109" s="886">
        <f t="shared" si="7"/>
        <v>0.12502071116324046</v>
      </c>
      <c r="C109" s="938" t="str">
        <f>IF(Innendurchmesser="","",Traktionsenergie!$D$26*(Parameter!$C$197+A109*BahnstrompreisZunahmeJahr))</f>
        <v/>
      </c>
      <c r="D109" s="938" t="e">
        <f t="shared" si="5"/>
        <v>#VALUE!</v>
      </c>
      <c r="E109" s="938">
        <f>IF(A109&lt;Parameter!$C$199*IF(Betriebsjahre&lt;&gt;"",Betriebsjahre,Betriebsjahre_Default),Traktionsenergie!$D$26*Parameter!$C$112*Parameter!$C$201/1000,Traktionsenergie!$D$26*Parameter!$C$113*Parameter!$C$201/1000)</f>
        <v>0</v>
      </c>
      <c r="F109" s="938">
        <f t="shared" si="6"/>
        <v>0</v>
      </c>
      <c r="G109" s="938" t="e">
        <f>SUM(D$5:D109)</f>
        <v>#VALUE!</v>
      </c>
      <c r="H109" s="938">
        <f>SUM(F$5:F109)</f>
        <v>0</v>
      </c>
    </row>
    <row r="110" spans="1:8" ht="14.1" customHeight="1">
      <c r="A110" s="885">
        <v>106</v>
      </c>
      <c r="B110" s="886">
        <f t="shared" si="7"/>
        <v>0.12256932466984359</v>
      </c>
      <c r="C110" s="938" t="str">
        <f>IF(Innendurchmesser="","",Traktionsenergie!$D$26*(Parameter!$C$197+A110*BahnstrompreisZunahmeJahr))</f>
        <v/>
      </c>
      <c r="D110" s="938" t="e">
        <f t="shared" si="5"/>
        <v>#VALUE!</v>
      </c>
      <c r="E110" s="938">
        <f>IF(A110&lt;Parameter!$C$199*IF(Betriebsjahre&lt;&gt;"",Betriebsjahre,Betriebsjahre_Default),Traktionsenergie!$D$26*Parameter!$C$112*Parameter!$C$201/1000,Traktionsenergie!$D$26*Parameter!$C$113*Parameter!$C$201/1000)</f>
        <v>0</v>
      </c>
      <c r="F110" s="938">
        <f t="shared" si="6"/>
        <v>0</v>
      </c>
      <c r="G110" s="938" t="e">
        <f>SUM(D$5:D110)</f>
        <v>#VALUE!</v>
      </c>
      <c r="H110" s="938">
        <f>SUM(F$5:F110)</f>
        <v>0</v>
      </c>
    </row>
    <row r="111" spans="1:8" ht="14.1" customHeight="1">
      <c r="A111" s="885">
        <v>107</v>
      </c>
      <c r="B111" s="886">
        <f t="shared" si="7"/>
        <v>0.12016600457827803</v>
      </c>
      <c r="C111" s="938" t="str">
        <f>IF(Innendurchmesser="","",Traktionsenergie!$D$26*(Parameter!$C$197+A111*BahnstrompreisZunahmeJahr))</f>
        <v/>
      </c>
      <c r="D111" s="938" t="e">
        <f t="shared" si="5"/>
        <v>#VALUE!</v>
      </c>
      <c r="E111" s="938">
        <f>IF(A111&lt;Parameter!$C$199*IF(Betriebsjahre&lt;&gt;"",Betriebsjahre,Betriebsjahre_Default),Traktionsenergie!$D$26*Parameter!$C$112*Parameter!$C$201/1000,Traktionsenergie!$D$26*Parameter!$C$113*Parameter!$C$201/1000)</f>
        <v>0</v>
      </c>
      <c r="F111" s="938">
        <f t="shared" si="6"/>
        <v>0</v>
      </c>
      <c r="G111" s="938" t="e">
        <f>SUM(D$5:D111)</f>
        <v>#VALUE!</v>
      </c>
      <c r="H111" s="938">
        <f>SUM(F$5:F111)</f>
        <v>0</v>
      </c>
    </row>
    <row r="112" spans="1:8" ht="14.1" customHeight="1">
      <c r="A112" s="885">
        <v>108</v>
      </c>
      <c r="B112" s="886">
        <f t="shared" si="7"/>
        <v>0.11780980841007649</v>
      </c>
      <c r="C112" s="938" t="str">
        <f>IF(Innendurchmesser="","",Traktionsenergie!$D$26*(Parameter!$C$197+A112*BahnstrompreisZunahmeJahr))</f>
        <v/>
      </c>
      <c r="D112" s="938" t="e">
        <f t="shared" si="5"/>
        <v>#VALUE!</v>
      </c>
      <c r="E112" s="938">
        <f>IF(A112&lt;Parameter!$C$199*IF(Betriebsjahre&lt;&gt;"",Betriebsjahre,Betriebsjahre_Default),Traktionsenergie!$D$26*Parameter!$C$112*Parameter!$C$201/1000,Traktionsenergie!$D$26*Parameter!$C$113*Parameter!$C$201/1000)</f>
        <v>0</v>
      </c>
      <c r="F112" s="938">
        <f t="shared" si="6"/>
        <v>0</v>
      </c>
      <c r="G112" s="938" t="e">
        <f>SUM(D$5:D112)</f>
        <v>#VALUE!</v>
      </c>
      <c r="H112" s="938">
        <f>SUM(F$5:F112)</f>
        <v>0</v>
      </c>
    </row>
    <row r="113" spans="1:8" ht="14.1" customHeight="1">
      <c r="A113" s="885">
        <v>109</v>
      </c>
      <c r="B113" s="886">
        <f t="shared" si="7"/>
        <v>0.11549981216674166</v>
      </c>
      <c r="C113" s="938" t="str">
        <f>IF(Innendurchmesser="","",Traktionsenergie!$D$26*(Parameter!$C$197+A113*BahnstrompreisZunahmeJahr))</f>
        <v/>
      </c>
      <c r="D113" s="938" t="e">
        <f t="shared" si="5"/>
        <v>#VALUE!</v>
      </c>
      <c r="E113" s="938">
        <f>IF(A113&lt;Parameter!$C$199*IF(Betriebsjahre&lt;&gt;"",Betriebsjahre,Betriebsjahre_Default),Traktionsenergie!$D$26*Parameter!$C$112*Parameter!$C$201/1000,Traktionsenergie!$D$26*Parameter!$C$113*Parameter!$C$201/1000)</f>
        <v>0</v>
      </c>
      <c r="F113" s="938">
        <f t="shared" si="6"/>
        <v>0</v>
      </c>
      <c r="G113" s="938" t="e">
        <f>SUM(D$5:D113)</f>
        <v>#VALUE!</v>
      </c>
      <c r="H113" s="938">
        <f>SUM(F$5:F113)</f>
        <v>0</v>
      </c>
    </row>
    <row r="114" spans="1:8" ht="14.1" customHeight="1">
      <c r="A114" s="885">
        <v>110</v>
      </c>
      <c r="B114" s="886">
        <f t="shared" si="7"/>
        <v>0.11323510996739378</v>
      </c>
      <c r="C114" s="938" t="str">
        <f>IF(Innendurchmesser="","",Traktionsenergie!$D$26*(Parameter!$C$197+A114*BahnstrompreisZunahmeJahr))</f>
        <v/>
      </c>
      <c r="D114" s="938" t="e">
        <f t="shared" si="5"/>
        <v>#VALUE!</v>
      </c>
      <c r="E114" s="938">
        <f>IF(A114&lt;Parameter!$C$199*IF(Betriebsjahre&lt;&gt;"",Betriebsjahre,Betriebsjahre_Default),Traktionsenergie!$D$26*Parameter!$C$112*Parameter!$C$201/1000,Traktionsenergie!$D$26*Parameter!$C$113*Parameter!$C$201/1000)</f>
        <v>0</v>
      </c>
      <c r="F114" s="938">
        <f t="shared" si="6"/>
        <v>0</v>
      </c>
      <c r="G114" s="938" t="e">
        <f>SUM(D$5:D114)</f>
        <v>#VALUE!</v>
      </c>
      <c r="H114" s="938">
        <f>SUM(F$5:F114)</f>
        <v>0</v>
      </c>
    </row>
    <row r="115" spans="1:8" ht="14.1" customHeight="1">
      <c r="A115" s="885">
        <v>111</v>
      </c>
      <c r="B115" s="886">
        <f t="shared" si="7"/>
        <v>0.11101481369352335</v>
      </c>
      <c r="C115" s="938" t="str">
        <f>IF(Innendurchmesser="","",Traktionsenergie!$D$26*(Parameter!$C$197+A115*BahnstrompreisZunahmeJahr))</f>
        <v/>
      </c>
      <c r="D115" s="938" t="e">
        <f t="shared" si="5"/>
        <v>#VALUE!</v>
      </c>
      <c r="E115" s="938">
        <f>IF(A115&lt;Parameter!$C$199*IF(Betriebsjahre&lt;&gt;"",Betriebsjahre,Betriebsjahre_Default),Traktionsenergie!$D$26*Parameter!$C$112*Parameter!$C$201/1000,Traktionsenergie!$D$26*Parameter!$C$113*Parameter!$C$201/1000)</f>
        <v>0</v>
      </c>
      <c r="F115" s="938">
        <f t="shared" si="6"/>
        <v>0</v>
      </c>
      <c r="G115" s="938" t="e">
        <f>SUM(D$5:D115)</f>
        <v>#VALUE!</v>
      </c>
      <c r="H115" s="938">
        <f>SUM(F$5:F115)</f>
        <v>0</v>
      </c>
    </row>
    <row r="116" spans="1:8" ht="14.1" customHeight="1">
      <c r="A116" s="885">
        <v>112</v>
      </c>
      <c r="B116" s="886">
        <f t="shared" si="7"/>
        <v>0.10883805264070914</v>
      </c>
      <c r="C116" s="938" t="str">
        <f>IF(Innendurchmesser="","",Traktionsenergie!$D$26*(Parameter!$C$197+A116*BahnstrompreisZunahmeJahr))</f>
        <v/>
      </c>
      <c r="D116" s="938" t="e">
        <f t="shared" si="5"/>
        <v>#VALUE!</v>
      </c>
      <c r="E116" s="938">
        <f>IF(A116&lt;Parameter!$C$199*IF(Betriebsjahre&lt;&gt;"",Betriebsjahre,Betriebsjahre_Default),Traktionsenergie!$D$26*Parameter!$C$112*Parameter!$C$201/1000,Traktionsenergie!$D$26*Parameter!$C$113*Parameter!$C$201/1000)</f>
        <v>0</v>
      </c>
      <c r="F116" s="938">
        <f t="shared" si="6"/>
        <v>0</v>
      </c>
      <c r="G116" s="938" t="e">
        <f>SUM(D$5:D116)</f>
        <v>#VALUE!</v>
      </c>
      <c r="H116" s="938">
        <f>SUM(F$5:F116)</f>
        <v>0</v>
      </c>
    </row>
    <row r="117" spans="1:8" ht="14.1" customHeight="1">
      <c r="A117" s="885">
        <v>113</v>
      </c>
      <c r="B117" s="886">
        <f t="shared" si="7"/>
        <v>0.10670397317716583</v>
      </c>
      <c r="C117" s="938" t="str">
        <f>IF(Innendurchmesser="","",Traktionsenergie!$D$26*(Parameter!$C$197+A117*BahnstrompreisZunahmeJahr))</f>
        <v/>
      </c>
      <c r="D117" s="938" t="e">
        <f t="shared" si="5"/>
        <v>#VALUE!</v>
      </c>
      <c r="E117" s="938">
        <f>IF(A117&lt;Parameter!$C$199*IF(Betriebsjahre&lt;&gt;"",Betriebsjahre,Betriebsjahre_Default),Traktionsenergie!$D$26*Parameter!$C$112*Parameter!$C$201/1000,Traktionsenergie!$D$26*Parameter!$C$113*Parameter!$C$201/1000)</f>
        <v>0</v>
      </c>
      <c r="F117" s="938">
        <f t="shared" si="6"/>
        <v>0</v>
      </c>
      <c r="G117" s="938" t="e">
        <f>SUM(D$5:D117)</f>
        <v>#VALUE!</v>
      </c>
      <c r="H117" s="938">
        <f>SUM(F$5:F117)</f>
        <v>0</v>
      </c>
    </row>
    <row r="118" spans="1:8" ht="14.1" customHeight="1">
      <c r="A118" s="885">
        <v>114</v>
      </c>
      <c r="B118" s="886">
        <f t="shared" si="7"/>
        <v>0.10461173840898609</v>
      </c>
      <c r="C118" s="938" t="str">
        <f>IF(Innendurchmesser="","",Traktionsenergie!$D$26*(Parameter!$C$197+A118*BahnstrompreisZunahmeJahr))</f>
        <v/>
      </c>
      <c r="D118" s="938" t="e">
        <f t="shared" si="5"/>
        <v>#VALUE!</v>
      </c>
      <c r="E118" s="938">
        <f>IF(A118&lt;Parameter!$C$199*IF(Betriebsjahre&lt;&gt;"",Betriebsjahre,Betriebsjahre_Default),Traktionsenergie!$D$26*Parameter!$C$112*Parameter!$C$201/1000,Traktionsenergie!$D$26*Parameter!$C$113*Parameter!$C$201/1000)</f>
        <v>0</v>
      </c>
      <c r="F118" s="938">
        <f t="shared" si="6"/>
        <v>0</v>
      </c>
      <c r="G118" s="938" t="e">
        <f>SUM(D$5:D118)</f>
        <v>#VALUE!</v>
      </c>
      <c r="H118" s="938">
        <f>SUM(F$5:F118)</f>
        <v>0</v>
      </c>
    </row>
    <row r="119" spans="1:8" ht="14.1" customHeight="1">
      <c r="A119" s="885">
        <v>115</v>
      </c>
      <c r="B119" s="886">
        <f t="shared" si="7"/>
        <v>0.10256052785194716</v>
      </c>
      <c r="C119" s="938" t="str">
        <f>IF(Innendurchmesser="","",Traktionsenergie!$D$26*(Parameter!$C$197+A119*BahnstrompreisZunahmeJahr))</f>
        <v/>
      </c>
      <c r="D119" s="938" t="e">
        <f t="shared" si="5"/>
        <v>#VALUE!</v>
      </c>
      <c r="E119" s="938">
        <f>IF(A119&lt;Parameter!$C$199*IF(Betriebsjahre&lt;&gt;"",Betriebsjahre,Betriebsjahre_Default),Traktionsenergie!$D$26*Parameter!$C$112*Parameter!$C$201/1000,Traktionsenergie!$D$26*Parameter!$C$113*Parameter!$C$201/1000)</f>
        <v>0</v>
      </c>
      <c r="F119" s="938">
        <f t="shared" si="6"/>
        <v>0</v>
      </c>
      <c r="G119" s="938" t="e">
        <f>SUM(D$5:D119)</f>
        <v>#VALUE!</v>
      </c>
      <c r="H119" s="938">
        <f>SUM(F$5:F119)</f>
        <v>0</v>
      </c>
    </row>
    <row r="120" spans="1:8" ht="14.1" customHeight="1">
      <c r="A120" s="885">
        <v>116</v>
      </c>
      <c r="B120" s="886">
        <f t="shared" si="7"/>
        <v>0.1005495371097521</v>
      </c>
      <c r="C120" s="938" t="str">
        <f>IF(Innendurchmesser="","",Traktionsenergie!$D$26*(Parameter!$C$197+A120*BahnstrompreisZunahmeJahr))</f>
        <v/>
      </c>
      <c r="D120" s="938" t="e">
        <f t="shared" si="5"/>
        <v>#VALUE!</v>
      </c>
      <c r="E120" s="938">
        <f>IF(A120&lt;Parameter!$C$199*IF(Betriebsjahre&lt;&gt;"",Betriebsjahre,Betriebsjahre_Default),Traktionsenergie!$D$26*Parameter!$C$112*Parameter!$C$201/1000,Traktionsenergie!$D$26*Parameter!$C$113*Parameter!$C$201/1000)</f>
        <v>0</v>
      </c>
      <c r="F120" s="938">
        <f t="shared" si="6"/>
        <v>0</v>
      </c>
      <c r="G120" s="938" t="e">
        <f>SUM(D$5:D120)</f>
        <v>#VALUE!</v>
      </c>
      <c r="H120" s="938">
        <f>SUM(F$5:F120)</f>
        <v>0</v>
      </c>
    </row>
    <row r="121" spans="1:8" ht="14.1" customHeight="1">
      <c r="A121" s="885">
        <v>117</v>
      </c>
      <c r="B121" s="886">
        <f t="shared" si="7"/>
        <v>9.8577977558580526E-2</v>
      </c>
      <c r="C121" s="938" t="str">
        <f>IF(Innendurchmesser="","",Traktionsenergie!$D$26*(Parameter!$C$197+A121*BahnstrompreisZunahmeJahr))</f>
        <v/>
      </c>
      <c r="D121" s="938" t="e">
        <f t="shared" si="5"/>
        <v>#VALUE!</v>
      </c>
      <c r="E121" s="938">
        <f>IF(A121&lt;Parameter!$C$199*IF(Betriebsjahre&lt;&gt;"",Betriebsjahre,Betriebsjahre_Default),Traktionsenergie!$D$26*Parameter!$C$112*Parameter!$C$201/1000,Traktionsenergie!$D$26*Parameter!$C$113*Parameter!$C$201/1000)</f>
        <v>0</v>
      </c>
      <c r="F121" s="938">
        <f t="shared" si="6"/>
        <v>0</v>
      </c>
      <c r="G121" s="938" t="e">
        <f>SUM(D$5:D121)</f>
        <v>#VALUE!</v>
      </c>
      <c r="H121" s="938">
        <f>SUM(F$5:F121)</f>
        <v>0</v>
      </c>
    </row>
    <row r="122" spans="1:8" ht="14.1" customHeight="1">
      <c r="A122" s="885">
        <v>118</v>
      </c>
      <c r="B122" s="886">
        <f t="shared" si="7"/>
        <v>9.6645076037824032E-2</v>
      </c>
      <c r="C122" s="938" t="str">
        <f>IF(Innendurchmesser="","",Traktionsenergie!$D$26*(Parameter!$C$197+A122*BahnstrompreisZunahmeJahr))</f>
        <v/>
      </c>
      <c r="D122" s="938" t="e">
        <f t="shared" si="5"/>
        <v>#VALUE!</v>
      </c>
      <c r="E122" s="938">
        <f>IF(A122&lt;Parameter!$C$199*IF(Betriebsjahre&lt;&gt;"",Betriebsjahre,Betriebsjahre_Default),Traktionsenergie!$D$26*Parameter!$C$112*Parameter!$C$201/1000,Traktionsenergie!$D$26*Parameter!$C$113*Parameter!$C$201/1000)</f>
        <v>0</v>
      </c>
      <c r="F122" s="938">
        <f t="shared" si="6"/>
        <v>0</v>
      </c>
      <c r="G122" s="938" t="e">
        <f>SUM(D$5:D122)</f>
        <v>#VALUE!</v>
      </c>
      <c r="H122" s="938">
        <f>SUM(F$5:F122)</f>
        <v>0</v>
      </c>
    </row>
    <row r="123" spans="1:8" ht="14.1" customHeight="1">
      <c r="A123" s="885">
        <v>119</v>
      </c>
      <c r="B123" s="886">
        <f t="shared" si="7"/>
        <v>9.4750074546886331E-2</v>
      </c>
      <c r="C123" s="938" t="str">
        <f>IF(Innendurchmesser="","",Traktionsenergie!$D$26*(Parameter!$C$197+A123*BahnstrompreisZunahmeJahr))</f>
        <v/>
      </c>
      <c r="D123" s="938" t="e">
        <f t="shared" si="5"/>
        <v>#VALUE!</v>
      </c>
      <c r="E123" s="938">
        <f>IF(A123&lt;Parameter!$C$199*IF(Betriebsjahre&lt;&gt;"",Betriebsjahre,Betriebsjahre_Default),Traktionsenergie!$D$26*Parameter!$C$112*Parameter!$C$201/1000,Traktionsenergie!$D$26*Parameter!$C$113*Parameter!$C$201/1000)</f>
        <v>0</v>
      </c>
      <c r="F123" s="938">
        <f t="shared" si="6"/>
        <v>0</v>
      </c>
      <c r="G123" s="938" t="e">
        <f>SUM(D$5:D123)</f>
        <v>#VALUE!</v>
      </c>
      <c r="H123" s="938">
        <f>SUM(F$5:F123)</f>
        <v>0</v>
      </c>
    </row>
    <row r="124" spans="1:8" ht="14.1" customHeight="1">
      <c r="A124" s="885">
        <v>120</v>
      </c>
      <c r="B124" s="886">
        <f t="shared" si="7"/>
        <v>9.2892229947927757E-2</v>
      </c>
      <c r="C124" s="938" t="str">
        <f>IF(Innendurchmesser="","",Traktionsenergie!$D$26*(Parameter!$C$197+A124*BahnstrompreisZunahmeJahr))</f>
        <v/>
      </c>
      <c r="D124" s="938" t="e">
        <f t="shared" si="5"/>
        <v>#VALUE!</v>
      </c>
      <c r="E124" s="938">
        <f>IF(A124&lt;Parameter!$C$199*IF(Betriebsjahre&lt;&gt;"",Betriebsjahre,Betriebsjahre_Default),Traktionsenergie!$D$26*Parameter!$C$112*Parameter!$C$201/1000,Traktionsenergie!$D$26*Parameter!$C$113*Parameter!$C$201/1000)</f>
        <v>0</v>
      </c>
      <c r="F124" s="938">
        <f t="shared" si="6"/>
        <v>0</v>
      </c>
      <c r="G124" s="938" t="e">
        <f>SUM(D$5:D124)</f>
        <v>#VALUE!</v>
      </c>
      <c r="H124" s="938">
        <f>SUM(F$5:F124)</f>
        <v>0</v>
      </c>
    </row>
    <row r="125" spans="1:8" ht="14.1" customHeight="1">
      <c r="A125" s="885">
        <v>121</v>
      </c>
      <c r="B125" s="886">
        <f t="shared" si="7"/>
        <v>9.1070813674438977E-2</v>
      </c>
      <c r="C125" s="938" t="str">
        <f>IF(Innendurchmesser="","",Traktionsenergie!$D$26*(Parameter!$C$197+A125*BahnstrompreisZunahmeJahr))</f>
        <v/>
      </c>
      <c r="D125" s="938" t="e">
        <f t="shared" si="5"/>
        <v>#VALUE!</v>
      </c>
      <c r="E125" s="938">
        <f>IF(A125&lt;Parameter!$C$199*IF(Betriebsjahre&lt;&gt;"",Betriebsjahre,Betriebsjahre_Default),Traktionsenergie!$D$26*Parameter!$C$112*Parameter!$C$201/1000,Traktionsenergie!$D$26*Parameter!$C$113*Parameter!$C$201/1000)</f>
        <v>0</v>
      </c>
      <c r="F125" s="938">
        <f t="shared" si="6"/>
        <v>0</v>
      </c>
      <c r="G125" s="938" t="e">
        <f>SUM(D$5:D125)</f>
        <v>#VALUE!</v>
      </c>
      <c r="H125" s="938">
        <f>SUM(F$5:F125)</f>
        <v>0</v>
      </c>
    </row>
    <row r="126" spans="1:8" ht="14.1" customHeight="1">
      <c r="A126" s="885">
        <v>122</v>
      </c>
      <c r="B126" s="886">
        <f t="shared" si="7"/>
        <v>8.9285111445528406E-2</v>
      </c>
      <c r="C126" s="938" t="str">
        <f>IF(Innendurchmesser="","",Traktionsenergie!$D$26*(Parameter!$C$197+A126*BahnstrompreisZunahmeJahr))</f>
        <v/>
      </c>
      <c r="D126" s="938" t="e">
        <f t="shared" si="5"/>
        <v>#VALUE!</v>
      </c>
      <c r="E126" s="938">
        <f>IF(A126&lt;Parameter!$C$199*IF(Betriebsjahre&lt;&gt;"",Betriebsjahre,Betriebsjahre_Default),Traktionsenergie!$D$26*Parameter!$C$112*Parameter!$C$201/1000,Traktionsenergie!$D$26*Parameter!$C$113*Parameter!$C$201/1000)</f>
        <v>0</v>
      </c>
      <c r="F126" s="938">
        <f t="shared" si="6"/>
        <v>0</v>
      </c>
      <c r="G126" s="938" t="e">
        <f>SUM(D$5:D126)</f>
        <v>#VALUE!</v>
      </c>
      <c r="H126" s="938">
        <f>SUM(F$5:F126)</f>
        <v>0</v>
      </c>
    </row>
    <row r="127" spans="1:8" ht="14.1" customHeight="1">
      <c r="A127" s="885">
        <v>123</v>
      </c>
      <c r="B127" s="886">
        <f t="shared" si="7"/>
        <v>8.7534422985812169E-2</v>
      </c>
      <c r="C127" s="938" t="str">
        <f>IF(Innendurchmesser="","",Traktionsenergie!$D$26*(Parameter!$C$197+A127*BahnstrompreisZunahmeJahr))</f>
        <v/>
      </c>
      <c r="D127" s="938" t="e">
        <f t="shared" si="5"/>
        <v>#VALUE!</v>
      </c>
      <c r="E127" s="938">
        <f>IF(A127&lt;Parameter!$C$199*IF(Betriebsjahre&lt;&gt;"",Betriebsjahre,Betriebsjahre_Default),Traktionsenergie!$D$26*Parameter!$C$112*Parameter!$C$201/1000,Traktionsenergie!$D$26*Parameter!$C$113*Parameter!$C$201/1000)</f>
        <v>0</v>
      </c>
      <c r="F127" s="938">
        <f t="shared" si="6"/>
        <v>0</v>
      </c>
      <c r="G127" s="938" t="e">
        <f>SUM(D$5:D127)</f>
        <v>#VALUE!</v>
      </c>
      <c r="H127" s="938">
        <f>SUM(F$5:F127)</f>
        <v>0</v>
      </c>
    </row>
    <row r="128" spans="1:8" ht="14.1" customHeight="1">
      <c r="A128" s="885">
        <v>124</v>
      </c>
      <c r="B128" s="886">
        <f t="shared" si="7"/>
        <v>8.5818061750796232E-2</v>
      </c>
      <c r="C128" s="938" t="str">
        <f>IF(Innendurchmesser="","",Traktionsenergie!$D$26*(Parameter!$C$197+A128*BahnstrompreisZunahmeJahr))</f>
        <v/>
      </c>
      <c r="D128" s="938" t="e">
        <f t="shared" si="5"/>
        <v>#VALUE!</v>
      </c>
      <c r="E128" s="938">
        <f>IF(A128&lt;Parameter!$C$199*IF(Betriebsjahre&lt;&gt;"",Betriebsjahre,Betriebsjahre_Default),Traktionsenergie!$D$26*Parameter!$C$112*Parameter!$C$201/1000,Traktionsenergie!$D$26*Parameter!$C$113*Parameter!$C$201/1000)</f>
        <v>0</v>
      </c>
      <c r="F128" s="938">
        <f t="shared" si="6"/>
        <v>0</v>
      </c>
      <c r="G128" s="938" t="e">
        <f>SUM(D$5:D128)</f>
        <v>#VALUE!</v>
      </c>
      <c r="H128" s="938">
        <f>SUM(F$5:F128)</f>
        <v>0</v>
      </c>
    </row>
    <row r="129" spans="1:8" ht="14.1" customHeight="1">
      <c r="A129" s="885">
        <v>125</v>
      </c>
      <c r="B129" s="886">
        <f t="shared" si="7"/>
        <v>8.4135354657643366E-2</v>
      </c>
      <c r="C129" s="938" t="str">
        <f>IF(Innendurchmesser="","",Traktionsenergie!$D$26*(Parameter!$C$197+A129*BahnstrompreisZunahmeJahr))</f>
        <v/>
      </c>
      <c r="D129" s="938" t="e">
        <f t="shared" si="5"/>
        <v>#VALUE!</v>
      </c>
      <c r="E129" s="938">
        <f>IF(A129&lt;Parameter!$C$199*IF(Betriebsjahre&lt;&gt;"",Betriebsjahre,Betriebsjahre_Default),Traktionsenergie!$D$26*Parameter!$C$112*Parameter!$C$201/1000,Traktionsenergie!$D$26*Parameter!$C$113*Parameter!$C$201/1000)</f>
        <v>0</v>
      </c>
      <c r="F129" s="938">
        <f t="shared" si="6"/>
        <v>0</v>
      </c>
      <c r="G129" s="938" t="e">
        <f>SUM(D$5:D129)</f>
        <v>#VALUE!</v>
      </c>
      <c r="H129" s="938">
        <f>SUM(F$5:F129)</f>
        <v>0</v>
      </c>
    </row>
    <row r="130" spans="1:8" ht="14.1" customHeight="1">
      <c r="A130" s="885">
        <v>126</v>
      </c>
      <c r="B130" s="886">
        <f t="shared" si="7"/>
        <v>8.2485641821218994E-2</v>
      </c>
      <c r="C130" s="938" t="str">
        <f>IF(Innendurchmesser="","",Traktionsenergie!$D$26*(Parameter!$C$197+A130*BahnstrompreisZunahmeJahr))</f>
        <v/>
      </c>
      <c r="D130" s="938" t="e">
        <f t="shared" si="5"/>
        <v>#VALUE!</v>
      </c>
      <c r="E130" s="938">
        <f>IF(A130&lt;Parameter!$C$199*IF(Betriebsjahre&lt;&gt;"",Betriebsjahre,Betriebsjahre_Default),Traktionsenergie!$D$26*Parameter!$C$112*Parameter!$C$201/1000,Traktionsenergie!$D$26*Parameter!$C$113*Parameter!$C$201/1000)</f>
        <v>0</v>
      </c>
      <c r="F130" s="938">
        <f t="shared" si="6"/>
        <v>0</v>
      </c>
      <c r="G130" s="938" t="e">
        <f>SUM(D$5:D130)</f>
        <v>#VALUE!</v>
      </c>
      <c r="H130" s="938">
        <f>SUM(F$5:F130)</f>
        <v>0</v>
      </c>
    </row>
    <row r="131" spans="1:8" ht="14.1" customHeight="1">
      <c r="A131" s="885">
        <v>127</v>
      </c>
      <c r="B131" s="886">
        <f t="shared" si="7"/>
        <v>8.0868276295312749E-2</v>
      </c>
      <c r="C131" s="938" t="str">
        <f>IF(Innendurchmesser="","",Traktionsenergie!$D$26*(Parameter!$C$197+A131*BahnstrompreisZunahmeJahr))</f>
        <v/>
      </c>
      <c r="D131" s="938" t="e">
        <f t="shared" si="5"/>
        <v>#VALUE!</v>
      </c>
      <c r="E131" s="938">
        <f>IF(A131&lt;Parameter!$C$199*IF(Betriebsjahre&lt;&gt;"",Betriebsjahre,Betriebsjahre_Default),Traktionsenergie!$D$26*Parameter!$C$112*Parameter!$C$201/1000,Traktionsenergie!$D$26*Parameter!$C$113*Parameter!$C$201/1000)</f>
        <v>0</v>
      </c>
      <c r="F131" s="938">
        <f t="shared" si="6"/>
        <v>0</v>
      </c>
      <c r="G131" s="938" t="e">
        <f>SUM(D$5:D131)</f>
        <v>#VALUE!</v>
      </c>
      <c r="H131" s="938">
        <f>SUM(F$5:F131)</f>
        <v>0</v>
      </c>
    </row>
    <row r="132" spans="1:8" ht="14.1" customHeight="1">
      <c r="A132" s="885">
        <v>128</v>
      </c>
      <c r="B132" s="886">
        <f t="shared" si="7"/>
        <v>7.9282623818934056E-2</v>
      </c>
      <c r="C132" s="938" t="str">
        <f>IF(Innendurchmesser="","",Traktionsenergie!$D$26*(Parameter!$C$197+A132*BahnstrompreisZunahmeJahr))</f>
        <v/>
      </c>
      <c r="D132" s="938" t="e">
        <f t="shared" si="5"/>
        <v>#VALUE!</v>
      </c>
      <c r="E132" s="938">
        <f>IF(A132&lt;Parameter!$C$199*IF(Betriebsjahre&lt;&gt;"",Betriebsjahre,Betriebsjahre_Default),Traktionsenergie!$D$26*Parameter!$C$112*Parameter!$C$201/1000,Traktionsenergie!$D$26*Parameter!$C$113*Parameter!$C$201/1000)</f>
        <v>0</v>
      </c>
      <c r="F132" s="938">
        <f t="shared" si="6"/>
        <v>0</v>
      </c>
      <c r="G132" s="938" t="e">
        <f>SUM(D$5:D132)</f>
        <v>#VALUE!</v>
      </c>
      <c r="H132" s="938">
        <f>SUM(F$5:F132)</f>
        <v>0</v>
      </c>
    </row>
    <row r="133" spans="1:8" ht="14.1" customHeight="1">
      <c r="A133" s="885">
        <v>129</v>
      </c>
      <c r="B133" s="886">
        <f t="shared" ref="B133:B164" si="8">(1+Diskontrate)^(-A133)</f>
        <v>7.7728062567582412E-2</v>
      </c>
      <c r="C133" s="938" t="str">
        <f>IF(Innendurchmesser="","",Traktionsenergie!$D$26*(Parameter!$C$197+A133*BahnstrompreisZunahmeJahr))</f>
        <v/>
      </c>
      <c r="D133" s="938" t="e">
        <f t="shared" ref="D133:D196" si="9">C133*B133</f>
        <v>#VALUE!</v>
      </c>
      <c r="E133" s="938">
        <f>IF(A133&lt;Parameter!$C$199*IF(Betriebsjahre&lt;&gt;"",Betriebsjahre,Betriebsjahre_Default),Traktionsenergie!$D$26*Parameter!$C$112*Parameter!$C$201/1000,Traktionsenergie!$D$26*Parameter!$C$113*Parameter!$C$201/1000)</f>
        <v>0</v>
      </c>
      <c r="F133" s="938">
        <f t="shared" si="6"/>
        <v>0</v>
      </c>
      <c r="G133" s="938" t="e">
        <f>SUM(D$5:D133)</f>
        <v>#VALUE!</v>
      </c>
      <c r="H133" s="938">
        <f>SUM(F$5:F133)</f>
        <v>0</v>
      </c>
    </row>
    <row r="134" spans="1:8" ht="14.1" customHeight="1">
      <c r="A134" s="885">
        <v>130</v>
      </c>
      <c r="B134" s="886">
        <f t="shared" si="8"/>
        <v>7.6203982909394508E-2</v>
      </c>
      <c r="C134" s="938" t="str">
        <f>IF(Innendurchmesser="","",Traktionsenergie!$D$26*(Parameter!$C$197+A134*BahnstrompreisZunahmeJahr))</f>
        <v/>
      </c>
      <c r="D134" s="938" t="e">
        <f t="shared" si="9"/>
        <v>#VALUE!</v>
      </c>
      <c r="E134" s="938">
        <f>IF(A134&lt;Parameter!$C$199*IF(Betriebsjahre&lt;&gt;"",Betriebsjahre,Betriebsjahre_Default),Traktionsenergie!$D$26*Parameter!$C$112*Parameter!$C$201/1000,Traktionsenergie!$D$26*Parameter!$C$113*Parameter!$C$201/1000)</f>
        <v>0</v>
      </c>
      <c r="F134" s="938">
        <f t="shared" ref="F134:F197" si="10">E134*B134</f>
        <v>0</v>
      </c>
      <c r="G134" s="938" t="e">
        <f>SUM(D$5:D134)</f>
        <v>#VALUE!</v>
      </c>
      <c r="H134" s="938">
        <f>SUM(F$5:F134)</f>
        <v>0</v>
      </c>
    </row>
    <row r="135" spans="1:8" ht="14.1" customHeight="1">
      <c r="A135" s="885">
        <v>131</v>
      </c>
      <c r="B135" s="886">
        <f t="shared" si="8"/>
        <v>7.4709787166073058E-2</v>
      </c>
      <c r="C135" s="938" t="str">
        <f>IF(Innendurchmesser="","",Traktionsenergie!$D$26*(Parameter!$C$197+A135*BahnstrompreisZunahmeJahr))</f>
        <v/>
      </c>
      <c r="D135" s="938" t="e">
        <f t="shared" si="9"/>
        <v>#VALUE!</v>
      </c>
      <c r="E135" s="938">
        <f>IF(A135&lt;Parameter!$C$199*IF(Betriebsjahre&lt;&gt;"",Betriebsjahre,Betriebsjahre_Default),Traktionsenergie!$D$26*Parameter!$C$112*Parameter!$C$201/1000,Traktionsenergie!$D$26*Parameter!$C$113*Parameter!$C$201/1000)</f>
        <v>0</v>
      </c>
      <c r="F135" s="938">
        <f t="shared" si="10"/>
        <v>0</v>
      </c>
      <c r="G135" s="938" t="e">
        <f>SUM(D$5:D135)</f>
        <v>#VALUE!</v>
      </c>
      <c r="H135" s="938">
        <f>SUM(F$5:F135)</f>
        <v>0</v>
      </c>
    </row>
    <row r="136" spans="1:8" ht="14.1" customHeight="1">
      <c r="A136" s="885">
        <v>132</v>
      </c>
      <c r="B136" s="886">
        <f t="shared" si="8"/>
        <v>7.3244889378503E-2</v>
      </c>
      <c r="C136" s="938" t="str">
        <f>IF(Innendurchmesser="","",Traktionsenergie!$D$26*(Parameter!$C$197+A136*BahnstrompreisZunahmeJahr))</f>
        <v/>
      </c>
      <c r="D136" s="938" t="e">
        <f t="shared" si="9"/>
        <v>#VALUE!</v>
      </c>
      <c r="E136" s="938">
        <f>IF(A136&lt;Parameter!$C$199*IF(Betriebsjahre&lt;&gt;"",Betriebsjahre,Betriebsjahre_Default),Traktionsenergie!$D$26*Parameter!$C$112*Parameter!$C$201/1000,Traktionsenergie!$D$26*Parameter!$C$113*Parameter!$C$201/1000)</f>
        <v>0</v>
      </c>
      <c r="F136" s="938">
        <f t="shared" si="10"/>
        <v>0</v>
      </c>
      <c r="G136" s="938" t="e">
        <f>SUM(D$5:D136)</f>
        <v>#VALUE!</v>
      </c>
      <c r="H136" s="938">
        <f>SUM(F$5:F136)</f>
        <v>0</v>
      </c>
    </row>
    <row r="137" spans="1:8" ht="14.1" customHeight="1">
      <c r="A137" s="885">
        <v>133</v>
      </c>
      <c r="B137" s="886">
        <f t="shared" si="8"/>
        <v>7.1808715076963722E-2</v>
      </c>
      <c r="C137" s="938" t="str">
        <f>IF(Innendurchmesser="","",Traktionsenergie!$D$26*(Parameter!$C$197+A137*BahnstrompreisZunahmeJahr))</f>
        <v/>
      </c>
      <c r="D137" s="938" t="e">
        <f t="shared" si="9"/>
        <v>#VALUE!</v>
      </c>
      <c r="E137" s="938">
        <f>IF(A137&lt;Parameter!$C$199*IF(Betriebsjahre&lt;&gt;"",Betriebsjahre,Betriebsjahre_Default),Traktionsenergie!$D$26*Parameter!$C$112*Parameter!$C$201/1000,Traktionsenergie!$D$26*Parameter!$C$113*Parameter!$C$201/1000)</f>
        <v>0</v>
      </c>
      <c r="F137" s="938">
        <f t="shared" si="10"/>
        <v>0</v>
      </c>
      <c r="G137" s="938" t="e">
        <f>SUM(D$5:D137)</f>
        <v>#VALUE!</v>
      </c>
      <c r="H137" s="938">
        <f>SUM(F$5:F137)</f>
        <v>0</v>
      </c>
    </row>
    <row r="138" spans="1:8" ht="14.1" customHeight="1">
      <c r="A138" s="885">
        <v>134</v>
      </c>
      <c r="B138" s="886">
        <f t="shared" si="8"/>
        <v>7.0400701055846782E-2</v>
      </c>
      <c r="C138" s="938" t="str">
        <f>IF(Innendurchmesser="","",Traktionsenergie!$D$26*(Parameter!$C$197+A138*BahnstrompreisZunahmeJahr))</f>
        <v/>
      </c>
      <c r="D138" s="938" t="e">
        <f t="shared" si="9"/>
        <v>#VALUE!</v>
      </c>
      <c r="E138" s="938">
        <f>IF(A138&lt;Parameter!$C$199*IF(Betriebsjahre&lt;&gt;"",Betriebsjahre,Betriebsjahre_Default),Traktionsenergie!$D$26*Parameter!$C$112*Parameter!$C$201/1000,Traktionsenergie!$D$26*Parameter!$C$113*Parameter!$C$201/1000)</f>
        <v>0</v>
      </c>
      <c r="F138" s="938">
        <f t="shared" si="10"/>
        <v>0</v>
      </c>
      <c r="G138" s="938" t="e">
        <f>SUM(D$5:D138)</f>
        <v>#VALUE!</v>
      </c>
      <c r="H138" s="938">
        <f>SUM(F$5:F138)</f>
        <v>0</v>
      </c>
    </row>
    <row r="139" spans="1:8" ht="14.1" customHeight="1">
      <c r="A139" s="885">
        <v>135</v>
      </c>
      <c r="B139" s="886">
        <f t="shared" si="8"/>
        <v>6.902029515279097E-2</v>
      </c>
      <c r="C139" s="938" t="str">
        <f>IF(Innendurchmesser="","",Traktionsenergie!$D$26*(Parameter!$C$197+A139*BahnstrompreisZunahmeJahr))</f>
        <v/>
      </c>
      <c r="D139" s="938" t="e">
        <f t="shared" si="9"/>
        <v>#VALUE!</v>
      </c>
      <c r="E139" s="938">
        <f>IF(A139&lt;Parameter!$C$199*IF(Betriebsjahre&lt;&gt;"",Betriebsjahre,Betriebsjahre_Default),Traktionsenergie!$D$26*Parameter!$C$112*Parameter!$C$201/1000,Traktionsenergie!$D$26*Parameter!$C$113*Parameter!$C$201/1000)</f>
        <v>0</v>
      </c>
      <c r="F139" s="938">
        <f t="shared" si="10"/>
        <v>0</v>
      </c>
      <c r="G139" s="938" t="e">
        <f>SUM(D$5:D139)</f>
        <v>#VALUE!</v>
      </c>
      <c r="H139" s="938">
        <f>SUM(F$5:F139)</f>
        <v>0</v>
      </c>
    </row>
    <row r="140" spans="1:8" ht="14.1" customHeight="1">
      <c r="A140" s="885">
        <v>136</v>
      </c>
      <c r="B140" s="886">
        <f t="shared" si="8"/>
        <v>6.7666956032148007E-2</v>
      </c>
      <c r="C140" s="938" t="str">
        <f>IF(Innendurchmesser="","",Traktionsenergie!$D$26*(Parameter!$C$197+A140*BahnstrompreisZunahmeJahr))</f>
        <v/>
      </c>
      <c r="D140" s="938" t="e">
        <f t="shared" si="9"/>
        <v>#VALUE!</v>
      </c>
      <c r="E140" s="938">
        <f>IF(A140&lt;Parameter!$C$199*IF(Betriebsjahre&lt;&gt;"",Betriebsjahre,Betriebsjahre_Default),Traktionsenergie!$D$26*Parameter!$C$112*Parameter!$C$201/1000,Traktionsenergie!$D$26*Parameter!$C$113*Parameter!$C$201/1000)</f>
        <v>0</v>
      </c>
      <c r="F140" s="938">
        <f t="shared" si="10"/>
        <v>0</v>
      </c>
      <c r="G140" s="938" t="e">
        <f>SUM(D$5:D140)</f>
        <v>#VALUE!</v>
      </c>
      <c r="H140" s="938">
        <f>SUM(F$5:F140)</f>
        <v>0</v>
      </c>
    </row>
    <row r="141" spans="1:8" ht="14.1" customHeight="1">
      <c r="A141" s="885">
        <v>137</v>
      </c>
      <c r="B141" s="886">
        <f t="shared" si="8"/>
        <v>6.6340152972694133E-2</v>
      </c>
      <c r="C141" s="938" t="str">
        <f>IF(Innendurchmesser="","",Traktionsenergie!$D$26*(Parameter!$C$197+A141*BahnstrompreisZunahmeJahr))</f>
        <v/>
      </c>
      <c r="D141" s="938" t="e">
        <f t="shared" si="9"/>
        <v>#VALUE!</v>
      </c>
      <c r="E141" s="938">
        <f>IF(A141&lt;Parameter!$C$199*IF(Betriebsjahre&lt;&gt;"",Betriebsjahre,Betriebsjahre_Default),Traktionsenergie!$D$26*Parameter!$C$112*Parameter!$C$201/1000,Traktionsenergie!$D$26*Parameter!$C$113*Parameter!$C$201/1000)</f>
        <v>0</v>
      </c>
      <c r="F141" s="938">
        <f t="shared" si="10"/>
        <v>0</v>
      </c>
      <c r="G141" s="938" t="e">
        <f>SUM(D$5:D141)</f>
        <v>#VALUE!</v>
      </c>
      <c r="H141" s="938">
        <f>SUM(F$5:F141)</f>
        <v>0</v>
      </c>
    </row>
    <row r="142" spans="1:8" ht="14.1" customHeight="1">
      <c r="A142" s="885">
        <v>138</v>
      </c>
      <c r="B142" s="886">
        <f t="shared" si="8"/>
        <v>6.503936565950405E-2</v>
      </c>
      <c r="C142" s="938" t="str">
        <f>IF(Innendurchmesser="","",Traktionsenergie!$D$26*(Parameter!$C$197+A142*BahnstrompreisZunahmeJahr))</f>
        <v/>
      </c>
      <c r="D142" s="938" t="e">
        <f t="shared" si="9"/>
        <v>#VALUE!</v>
      </c>
      <c r="E142" s="938">
        <f>IF(A142&lt;Parameter!$C$199*IF(Betriebsjahre&lt;&gt;"",Betriebsjahre,Betriebsjahre_Default),Traktionsenergie!$D$26*Parameter!$C$112*Parameter!$C$201/1000,Traktionsenergie!$D$26*Parameter!$C$113*Parameter!$C$201/1000)</f>
        <v>0</v>
      </c>
      <c r="F142" s="938">
        <f t="shared" si="10"/>
        <v>0</v>
      </c>
      <c r="G142" s="938" t="e">
        <f>SUM(D$5:D142)</f>
        <v>#VALUE!</v>
      </c>
      <c r="H142" s="938">
        <f>SUM(F$5:F142)</f>
        <v>0</v>
      </c>
    </row>
    <row r="143" spans="1:8" ht="14.1" customHeight="1">
      <c r="A143" s="885">
        <v>139</v>
      </c>
      <c r="B143" s="886">
        <f t="shared" si="8"/>
        <v>6.3764083979905933E-2</v>
      </c>
      <c r="C143" s="938" t="str">
        <f>IF(Innendurchmesser="","",Traktionsenergie!$D$26*(Parameter!$C$197+A143*BahnstrompreisZunahmeJahr))</f>
        <v/>
      </c>
      <c r="D143" s="938" t="e">
        <f t="shared" si="9"/>
        <v>#VALUE!</v>
      </c>
      <c r="E143" s="938">
        <f>IF(A143&lt;Parameter!$C$199*IF(Betriebsjahre&lt;&gt;"",Betriebsjahre,Betriebsjahre_Default),Traktionsenergie!$D$26*Parameter!$C$112*Parameter!$C$201/1000,Traktionsenergie!$D$26*Parameter!$C$113*Parameter!$C$201/1000)</f>
        <v>0</v>
      </c>
      <c r="F143" s="938">
        <f t="shared" si="10"/>
        <v>0</v>
      </c>
      <c r="G143" s="938" t="e">
        <f>SUM(D$5:D143)</f>
        <v>#VALUE!</v>
      </c>
      <c r="H143" s="938">
        <f>SUM(F$5:F143)</f>
        <v>0</v>
      </c>
    </row>
    <row r="144" spans="1:8" ht="14.1" customHeight="1">
      <c r="A144" s="885">
        <v>140</v>
      </c>
      <c r="B144" s="886">
        <f t="shared" si="8"/>
        <v>6.2513807823437184E-2</v>
      </c>
      <c r="C144" s="938" t="str">
        <f>IF(Innendurchmesser="","",Traktionsenergie!$D$26*(Parameter!$C$197+A144*BahnstrompreisZunahmeJahr))</f>
        <v/>
      </c>
      <c r="D144" s="938" t="e">
        <f t="shared" si="9"/>
        <v>#VALUE!</v>
      </c>
      <c r="E144" s="938">
        <f>IF(A144&lt;Parameter!$C$199*IF(Betriebsjahre&lt;&gt;"",Betriebsjahre,Betriebsjahre_Default),Traktionsenergie!$D$26*Parameter!$C$112*Parameter!$C$201/1000,Traktionsenergie!$D$26*Parameter!$C$113*Parameter!$C$201/1000)</f>
        <v>0</v>
      </c>
      <c r="F144" s="938">
        <f t="shared" si="10"/>
        <v>0</v>
      </c>
      <c r="G144" s="938" t="e">
        <f>SUM(D$5:D144)</f>
        <v>#VALUE!</v>
      </c>
      <c r="H144" s="938">
        <f>SUM(F$5:F144)</f>
        <v>0</v>
      </c>
    </row>
    <row r="145" spans="1:8" ht="14.1" customHeight="1">
      <c r="A145" s="885">
        <v>141</v>
      </c>
      <c r="B145" s="886">
        <f t="shared" si="8"/>
        <v>6.1288046885722737E-2</v>
      </c>
      <c r="C145" s="938" t="str">
        <f>IF(Innendurchmesser="","",Traktionsenergie!$D$26*(Parameter!$C$197+A145*BahnstrompreisZunahmeJahr))</f>
        <v/>
      </c>
      <c r="D145" s="938" t="e">
        <f t="shared" si="9"/>
        <v>#VALUE!</v>
      </c>
      <c r="E145" s="938">
        <f>IF(A145&lt;Parameter!$C$199*IF(Betriebsjahre&lt;&gt;"",Betriebsjahre,Betriebsjahre_Default),Traktionsenergie!$D$26*Parameter!$C$112*Parameter!$C$201/1000,Traktionsenergie!$D$26*Parameter!$C$113*Parameter!$C$201/1000)</f>
        <v>0</v>
      </c>
      <c r="F145" s="938">
        <f t="shared" si="10"/>
        <v>0</v>
      </c>
      <c r="G145" s="938" t="e">
        <f>SUM(D$5:D145)</f>
        <v>#VALUE!</v>
      </c>
      <c r="H145" s="938">
        <f>SUM(F$5:F145)</f>
        <v>0</v>
      </c>
    </row>
    <row r="146" spans="1:8" ht="14.1" customHeight="1">
      <c r="A146" s="885">
        <v>142</v>
      </c>
      <c r="B146" s="886">
        <f t="shared" si="8"/>
        <v>6.0086320476198746E-2</v>
      </c>
      <c r="C146" s="938" t="str">
        <f>IF(Innendurchmesser="","",Traktionsenergie!$D$26*(Parameter!$C$197+A146*BahnstrompreisZunahmeJahr))</f>
        <v/>
      </c>
      <c r="D146" s="938" t="e">
        <f t="shared" si="9"/>
        <v>#VALUE!</v>
      </c>
      <c r="E146" s="938">
        <f>IF(A146&lt;Parameter!$C$199*IF(Betriebsjahre&lt;&gt;"",Betriebsjahre,Betriebsjahre_Default),Traktionsenergie!$D$26*Parameter!$C$112*Parameter!$C$201/1000,Traktionsenergie!$D$26*Parameter!$C$113*Parameter!$C$201/1000)</f>
        <v>0</v>
      </c>
      <c r="F146" s="938">
        <f t="shared" si="10"/>
        <v>0</v>
      </c>
      <c r="G146" s="938" t="e">
        <f>SUM(D$5:D146)</f>
        <v>#VALUE!</v>
      </c>
      <c r="H146" s="938">
        <f>SUM(F$5:F146)</f>
        <v>0</v>
      </c>
    </row>
    <row r="147" spans="1:8" ht="14.1" customHeight="1">
      <c r="A147" s="885">
        <v>143</v>
      </c>
      <c r="B147" s="886">
        <f t="shared" si="8"/>
        <v>5.8908157329606636E-2</v>
      </c>
      <c r="C147" s="938" t="str">
        <f>IF(Innendurchmesser="","",Traktionsenergie!$D$26*(Parameter!$C$197+A147*BahnstrompreisZunahmeJahr))</f>
        <v/>
      </c>
      <c r="D147" s="938" t="e">
        <f t="shared" si="9"/>
        <v>#VALUE!</v>
      </c>
      <c r="E147" s="938">
        <f>IF(A147&lt;Parameter!$C$199*IF(Betriebsjahre&lt;&gt;"",Betriebsjahre,Betriebsjahre_Default),Traktionsenergie!$D$26*Parameter!$C$112*Parameter!$C$201/1000,Traktionsenergie!$D$26*Parameter!$C$113*Parameter!$C$201/1000)</f>
        <v>0</v>
      </c>
      <c r="F147" s="938">
        <f t="shared" si="10"/>
        <v>0</v>
      </c>
      <c r="G147" s="938" t="e">
        <f>SUM(D$5:D147)</f>
        <v>#VALUE!</v>
      </c>
      <c r="H147" s="938">
        <f>SUM(F$5:F147)</f>
        <v>0</v>
      </c>
    </row>
    <row r="148" spans="1:8" ht="14.1" customHeight="1">
      <c r="A148" s="885">
        <v>144</v>
      </c>
      <c r="B148" s="886">
        <f t="shared" si="8"/>
        <v>5.7753095421182961E-2</v>
      </c>
      <c r="C148" s="938" t="str">
        <f>IF(Innendurchmesser="","",Traktionsenergie!$D$26*(Parameter!$C$197+A148*BahnstrompreisZunahmeJahr))</f>
        <v/>
      </c>
      <c r="D148" s="938" t="e">
        <f t="shared" si="9"/>
        <v>#VALUE!</v>
      </c>
      <c r="E148" s="938">
        <f>IF(A148&lt;Parameter!$C$199*IF(Betriebsjahre&lt;&gt;"",Betriebsjahre,Betriebsjahre_Default),Traktionsenergie!$D$26*Parameter!$C$112*Parameter!$C$201/1000,Traktionsenergie!$D$26*Parameter!$C$113*Parameter!$C$201/1000)</f>
        <v>0</v>
      </c>
      <c r="F148" s="938">
        <f t="shared" si="10"/>
        <v>0</v>
      </c>
      <c r="G148" s="938" t="e">
        <f>SUM(D$5:D148)</f>
        <v>#VALUE!</v>
      </c>
      <c r="H148" s="938">
        <f>SUM(F$5:F148)</f>
        <v>0</v>
      </c>
    </row>
    <row r="149" spans="1:8" ht="14.1" customHeight="1">
      <c r="A149" s="885">
        <v>145</v>
      </c>
      <c r="B149" s="886">
        <f t="shared" si="8"/>
        <v>5.6620681785473491E-2</v>
      </c>
      <c r="C149" s="938" t="str">
        <f>IF(Innendurchmesser="","",Traktionsenergie!$D$26*(Parameter!$C$197+A149*BahnstrompreisZunahmeJahr))</f>
        <v/>
      </c>
      <c r="D149" s="938" t="e">
        <f t="shared" si="9"/>
        <v>#VALUE!</v>
      </c>
      <c r="E149" s="938">
        <f>IF(A149&lt;Parameter!$C$199*IF(Betriebsjahre&lt;&gt;"",Betriebsjahre,Betriebsjahre_Default),Traktionsenergie!$D$26*Parameter!$C$112*Parameter!$C$201/1000,Traktionsenergie!$D$26*Parameter!$C$113*Parameter!$C$201/1000)</f>
        <v>0</v>
      </c>
      <c r="F149" s="938">
        <f t="shared" si="10"/>
        <v>0</v>
      </c>
      <c r="G149" s="938" t="e">
        <f>SUM(D$5:D149)</f>
        <v>#VALUE!</v>
      </c>
      <c r="H149" s="938">
        <f>SUM(F$5:F149)</f>
        <v>0</v>
      </c>
    </row>
    <row r="150" spans="1:8" ht="14.1" customHeight="1">
      <c r="A150" s="885">
        <v>146</v>
      </c>
      <c r="B150" s="886">
        <f t="shared" si="8"/>
        <v>5.5510472338699511E-2</v>
      </c>
      <c r="C150" s="938" t="str">
        <f>IF(Innendurchmesser="","",Traktionsenergie!$D$26*(Parameter!$C$197+A150*BahnstrompreisZunahmeJahr))</f>
        <v/>
      </c>
      <c r="D150" s="938" t="e">
        <f t="shared" si="9"/>
        <v>#VALUE!</v>
      </c>
      <c r="E150" s="938">
        <f>IF(A150&lt;Parameter!$C$199*IF(Betriebsjahre&lt;&gt;"",Betriebsjahre,Betriebsjahre_Default),Traktionsenergie!$D$26*Parameter!$C$112*Parameter!$C$201/1000,Traktionsenergie!$D$26*Parameter!$C$113*Parameter!$C$201/1000)</f>
        <v>0</v>
      </c>
      <c r="F150" s="938">
        <f t="shared" si="10"/>
        <v>0</v>
      </c>
      <c r="G150" s="938" t="e">
        <f>SUM(D$5:D150)</f>
        <v>#VALUE!</v>
      </c>
      <c r="H150" s="938">
        <f>SUM(F$5:F150)</f>
        <v>0</v>
      </c>
    </row>
    <row r="151" spans="1:8" ht="14.1" customHeight="1">
      <c r="A151" s="885">
        <v>147</v>
      </c>
      <c r="B151" s="886">
        <f t="shared" si="8"/>
        <v>5.4422031704607368E-2</v>
      </c>
      <c r="C151" s="938" t="str">
        <f>IF(Innendurchmesser="","",Traktionsenergie!$D$26*(Parameter!$C$197+A151*BahnstrompreisZunahmeJahr))</f>
        <v/>
      </c>
      <c r="D151" s="938" t="e">
        <f t="shared" si="9"/>
        <v>#VALUE!</v>
      </c>
      <c r="E151" s="938">
        <f>IF(A151&lt;Parameter!$C$199*IF(Betriebsjahre&lt;&gt;"",Betriebsjahre,Betriebsjahre_Default),Traktionsenergie!$D$26*Parameter!$C$112*Parameter!$C$201/1000,Traktionsenergie!$D$26*Parameter!$C$113*Parameter!$C$201/1000)</f>
        <v>0</v>
      </c>
      <c r="F151" s="938">
        <f t="shared" si="10"/>
        <v>0</v>
      </c>
      <c r="G151" s="938" t="e">
        <f>SUM(D$5:D151)</f>
        <v>#VALUE!</v>
      </c>
      <c r="H151" s="938">
        <f>SUM(F$5:F151)</f>
        <v>0</v>
      </c>
    </row>
    <row r="152" spans="1:8" ht="14.1" customHeight="1">
      <c r="A152" s="885">
        <v>148</v>
      </c>
      <c r="B152" s="886">
        <f t="shared" si="8"/>
        <v>5.3354933043732698E-2</v>
      </c>
      <c r="C152" s="938" t="str">
        <f>IF(Innendurchmesser="","",Traktionsenergie!$D$26*(Parameter!$C$197+A152*BahnstrompreisZunahmeJahr))</f>
        <v/>
      </c>
      <c r="D152" s="938" t="e">
        <f t="shared" si="9"/>
        <v>#VALUE!</v>
      </c>
      <c r="E152" s="938">
        <f>IF(A152&lt;Parameter!$C$199*IF(Betriebsjahre&lt;&gt;"",Betriebsjahre,Betriebsjahre_Default),Traktionsenergie!$D$26*Parameter!$C$112*Parameter!$C$201/1000,Traktionsenergie!$D$26*Parameter!$C$113*Parameter!$C$201/1000)</f>
        <v>0</v>
      </c>
      <c r="F152" s="938">
        <f t="shared" si="10"/>
        <v>0</v>
      </c>
      <c r="G152" s="938" t="e">
        <f>SUM(D$5:D152)</f>
        <v>#VALUE!</v>
      </c>
      <c r="H152" s="938">
        <f>SUM(F$5:F152)</f>
        <v>0</v>
      </c>
    </row>
    <row r="153" spans="1:8" ht="14.1" customHeight="1">
      <c r="A153" s="885">
        <v>149</v>
      </c>
      <c r="B153" s="886">
        <f t="shared" si="8"/>
        <v>5.2308757886012455E-2</v>
      </c>
      <c r="C153" s="938" t="str">
        <f>IF(Innendurchmesser="","",Traktionsenergie!$D$26*(Parameter!$C$197+A153*BahnstrompreisZunahmeJahr))</f>
        <v/>
      </c>
      <c r="D153" s="938" t="e">
        <f t="shared" si="9"/>
        <v>#VALUE!</v>
      </c>
      <c r="E153" s="938">
        <f>IF(A153&lt;Parameter!$C$199*IF(Betriebsjahre&lt;&gt;"",Betriebsjahre,Betriebsjahre_Default),Traktionsenergie!$D$26*Parameter!$C$112*Parameter!$C$201/1000,Traktionsenergie!$D$26*Parameter!$C$113*Parameter!$C$201/1000)</f>
        <v>0</v>
      </c>
      <c r="F153" s="938">
        <f t="shared" si="10"/>
        <v>0</v>
      </c>
      <c r="G153" s="938" t="e">
        <f>SUM(D$5:D153)</f>
        <v>#VALUE!</v>
      </c>
      <c r="H153" s="938">
        <f>SUM(F$5:F153)</f>
        <v>0</v>
      </c>
    </row>
    <row r="154" spans="1:8" ht="14.1" customHeight="1">
      <c r="A154" s="885">
        <v>150</v>
      </c>
      <c r="B154" s="886">
        <f t="shared" si="8"/>
        <v>5.1283095966678877E-2</v>
      </c>
      <c r="C154" s="938" t="str">
        <f>IF(Innendurchmesser="","",Traktionsenergie!$D$26*(Parameter!$C$197+A154*BahnstrompreisZunahmeJahr))</f>
        <v/>
      </c>
      <c r="D154" s="938" t="e">
        <f t="shared" si="9"/>
        <v>#VALUE!</v>
      </c>
      <c r="E154" s="938">
        <f>IF(A154&lt;Parameter!$C$199*IF(Betriebsjahre&lt;&gt;"",Betriebsjahre,Betriebsjahre_Default),Traktionsenergie!$D$26*Parameter!$C$112*Parameter!$C$201/1000,Traktionsenergie!$D$26*Parameter!$C$113*Parameter!$C$201/1000)</f>
        <v>0</v>
      </c>
      <c r="F154" s="938">
        <f t="shared" si="10"/>
        <v>0</v>
      </c>
      <c r="G154" s="938" t="e">
        <f>SUM(D$5:D154)</f>
        <v>#VALUE!</v>
      </c>
      <c r="H154" s="938">
        <f>SUM(F$5:F154)</f>
        <v>0</v>
      </c>
    </row>
    <row r="155" spans="1:8" ht="14.1" customHeight="1">
      <c r="A155" s="885">
        <v>151</v>
      </c>
      <c r="B155" s="886">
        <f t="shared" si="8"/>
        <v>5.0277545065371458E-2</v>
      </c>
      <c r="C155" s="938" t="str">
        <f>IF(Innendurchmesser="","",Traktionsenergie!$D$26*(Parameter!$C$197+A155*BahnstrompreisZunahmeJahr))</f>
        <v/>
      </c>
      <c r="D155" s="938" t="e">
        <f t="shared" si="9"/>
        <v>#VALUE!</v>
      </c>
      <c r="E155" s="938">
        <f>IF(A155&lt;Parameter!$C$199*IF(Betriebsjahre&lt;&gt;"",Betriebsjahre,Betriebsjahre_Default),Traktionsenergie!$D$26*Parameter!$C$112*Parameter!$C$201/1000,Traktionsenergie!$D$26*Parameter!$C$113*Parameter!$C$201/1000)</f>
        <v>0</v>
      </c>
      <c r="F155" s="938">
        <f t="shared" si="10"/>
        <v>0</v>
      </c>
      <c r="G155" s="938" t="e">
        <f>SUM(D$5:D155)</f>
        <v>#VALUE!</v>
      </c>
      <c r="H155" s="938">
        <f>SUM(F$5:F155)</f>
        <v>0</v>
      </c>
    </row>
    <row r="156" spans="1:8" ht="14.1" customHeight="1">
      <c r="A156" s="885">
        <v>152</v>
      </c>
      <c r="B156" s="886">
        <f t="shared" si="8"/>
        <v>4.9291710848403385E-2</v>
      </c>
      <c r="C156" s="938" t="str">
        <f>IF(Innendurchmesser="","",Traktionsenergie!$D$26*(Parameter!$C$197+A156*BahnstrompreisZunahmeJahr))</f>
        <v/>
      </c>
      <c r="D156" s="938" t="e">
        <f t="shared" si="9"/>
        <v>#VALUE!</v>
      </c>
      <c r="E156" s="938">
        <f>IF(A156&lt;Parameter!$C$199*IF(Betriebsjahre&lt;&gt;"",Betriebsjahre,Betriebsjahre_Default),Traktionsenergie!$D$26*Parameter!$C$112*Parameter!$C$201/1000,Traktionsenergie!$D$26*Parameter!$C$113*Parameter!$C$201/1000)</f>
        <v>0</v>
      </c>
      <c r="F156" s="938">
        <f t="shared" si="10"/>
        <v>0</v>
      </c>
      <c r="G156" s="938" t="e">
        <f>SUM(D$5:D156)</f>
        <v>#VALUE!</v>
      </c>
      <c r="H156" s="938">
        <f>SUM(F$5:F156)</f>
        <v>0</v>
      </c>
    </row>
    <row r="157" spans="1:8" ht="14.1" customHeight="1">
      <c r="A157" s="885">
        <v>153</v>
      </c>
      <c r="B157" s="886">
        <f t="shared" si="8"/>
        <v>4.8325206714120973E-2</v>
      </c>
      <c r="C157" s="938" t="str">
        <f>IF(Innendurchmesser="","",Traktionsenergie!$D$26*(Parameter!$C$197+A157*BahnstrompreisZunahmeJahr))</f>
        <v/>
      </c>
      <c r="D157" s="938" t="e">
        <f t="shared" si="9"/>
        <v>#VALUE!</v>
      </c>
      <c r="E157" s="938">
        <f>IF(A157&lt;Parameter!$C$199*IF(Betriebsjahre&lt;&gt;"",Betriebsjahre,Betriebsjahre_Default),Traktionsenergie!$D$26*Parameter!$C$112*Parameter!$C$201/1000,Traktionsenergie!$D$26*Parameter!$C$113*Parameter!$C$201/1000)</f>
        <v>0</v>
      </c>
      <c r="F157" s="938">
        <f t="shared" si="10"/>
        <v>0</v>
      </c>
      <c r="G157" s="938" t="e">
        <f>SUM(D$5:D157)</f>
        <v>#VALUE!</v>
      </c>
      <c r="H157" s="938">
        <f>SUM(F$5:F157)</f>
        <v>0</v>
      </c>
    </row>
    <row r="158" spans="1:8" ht="14.1" customHeight="1">
      <c r="A158" s="885">
        <v>154</v>
      </c>
      <c r="B158" s="886">
        <f t="shared" si="8"/>
        <v>4.7377653641295064E-2</v>
      </c>
      <c r="C158" s="938" t="str">
        <f>IF(Innendurchmesser="","",Traktionsenergie!$D$26*(Parameter!$C$197+A158*BahnstrompreisZunahmeJahr))</f>
        <v/>
      </c>
      <c r="D158" s="938" t="e">
        <f t="shared" si="9"/>
        <v>#VALUE!</v>
      </c>
      <c r="E158" s="938">
        <f>IF(A158&lt;Parameter!$C$199*IF(Betriebsjahre&lt;&gt;"",Betriebsjahre,Betriebsjahre_Default),Traktionsenergie!$D$26*Parameter!$C$112*Parameter!$C$201/1000,Traktionsenergie!$D$26*Parameter!$C$113*Parameter!$C$201/1000)</f>
        <v>0</v>
      </c>
      <c r="F158" s="938">
        <f t="shared" si="10"/>
        <v>0</v>
      </c>
      <c r="G158" s="938" t="e">
        <f>SUM(D$5:D158)</f>
        <v>#VALUE!</v>
      </c>
      <c r="H158" s="938">
        <f>SUM(F$5:F158)</f>
        <v>0</v>
      </c>
    </row>
    <row r="159" spans="1:8" ht="14.1" customHeight="1">
      <c r="A159" s="885">
        <v>155</v>
      </c>
      <c r="B159" s="886">
        <f t="shared" si="8"/>
        <v>4.6448680040485364E-2</v>
      </c>
      <c r="C159" s="938" t="str">
        <f>IF(Innendurchmesser="","",Traktionsenergie!$D$26*(Parameter!$C$197+A159*BahnstrompreisZunahmeJahr))</f>
        <v/>
      </c>
      <c r="D159" s="938" t="e">
        <f t="shared" si="9"/>
        <v>#VALUE!</v>
      </c>
      <c r="E159" s="938">
        <f>IF(A159&lt;Parameter!$C$199*IF(Betriebsjahre&lt;&gt;"",Betriebsjahre,Betriebsjahre_Default),Traktionsenergie!$D$26*Parameter!$C$112*Parameter!$C$201/1000,Traktionsenergie!$D$26*Parameter!$C$113*Parameter!$C$201/1000)</f>
        <v>0</v>
      </c>
      <c r="F159" s="938">
        <f t="shared" si="10"/>
        <v>0</v>
      </c>
      <c r="G159" s="938" t="e">
        <f>SUM(D$5:D159)</f>
        <v>#VALUE!</v>
      </c>
      <c r="H159" s="938">
        <f>SUM(F$5:F159)</f>
        <v>0</v>
      </c>
    </row>
    <row r="160" spans="1:8" ht="14.1" customHeight="1">
      <c r="A160" s="885">
        <v>156</v>
      </c>
      <c r="B160" s="886">
        <f t="shared" si="8"/>
        <v>4.5537921608318974E-2</v>
      </c>
      <c r="C160" s="938" t="str">
        <f>IF(Innendurchmesser="","",Traktionsenergie!$D$26*(Parameter!$C$197+A160*BahnstrompreisZunahmeJahr))</f>
        <v/>
      </c>
      <c r="D160" s="938" t="e">
        <f t="shared" si="9"/>
        <v>#VALUE!</v>
      </c>
      <c r="E160" s="938">
        <f>IF(A160&lt;Parameter!$C$199*IF(Betriebsjahre&lt;&gt;"",Betriebsjahre,Betriebsjahre_Default),Traktionsenergie!$D$26*Parameter!$C$112*Parameter!$C$201/1000,Traktionsenergie!$D$26*Parameter!$C$113*Parameter!$C$201/1000)</f>
        <v>0</v>
      </c>
      <c r="F160" s="938">
        <f t="shared" si="10"/>
        <v>0</v>
      </c>
      <c r="G160" s="938" t="e">
        <f>SUM(D$5:D160)</f>
        <v>#VALUE!</v>
      </c>
      <c r="H160" s="938">
        <f>SUM(F$5:F160)</f>
        <v>0</v>
      </c>
    </row>
    <row r="161" spans="1:8" ht="14.1" customHeight="1">
      <c r="A161" s="885">
        <v>157</v>
      </c>
      <c r="B161" s="886">
        <f t="shared" si="8"/>
        <v>4.4645021184626446E-2</v>
      </c>
      <c r="C161" s="938" t="str">
        <f>IF(Innendurchmesser="","",Traktionsenergie!$D$26*(Parameter!$C$197+A161*BahnstrompreisZunahmeJahr))</f>
        <v/>
      </c>
      <c r="D161" s="938" t="e">
        <f t="shared" si="9"/>
        <v>#VALUE!</v>
      </c>
      <c r="E161" s="938">
        <f>IF(A161&lt;Parameter!$C$199*IF(Betriebsjahre&lt;&gt;"",Betriebsjahre,Betriebsjahre_Default),Traktionsenergie!$D$26*Parameter!$C$112*Parameter!$C$201/1000,Traktionsenergie!$D$26*Parameter!$C$113*Parameter!$C$201/1000)</f>
        <v>0</v>
      </c>
      <c r="F161" s="938">
        <f t="shared" si="10"/>
        <v>0</v>
      </c>
      <c r="G161" s="938" t="e">
        <f>SUM(D$5:D161)</f>
        <v>#VALUE!</v>
      </c>
      <c r="H161" s="938">
        <f>SUM(F$5:F161)</f>
        <v>0</v>
      </c>
    </row>
    <row r="162" spans="1:8" ht="14.1" customHeight="1">
      <c r="A162" s="885">
        <v>158</v>
      </c>
      <c r="B162" s="886">
        <f t="shared" si="8"/>
        <v>4.3769628612378868E-2</v>
      </c>
      <c r="C162" s="938" t="str">
        <f>IF(Innendurchmesser="","",Traktionsenergie!$D$26*(Parameter!$C$197+A162*BahnstrompreisZunahmeJahr))</f>
        <v/>
      </c>
      <c r="D162" s="938" t="e">
        <f t="shared" si="9"/>
        <v>#VALUE!</v>
      </c>
      <c r="E162" s="938">
        <f>IF(A162&lt;Parameter!$C$199*IF(Betriebsjahre&lt;&gt;"",Betriebsjahre,Betriebsjahre_Default),Traktionsenergie!$D$26*Parameter!$C$112*Parameter!$C$201/1000,Traktionsenergie!$D$26*Parameter!$C$113*Parameter!$C$201/1000)</f>
        <v>0</v>
      </c>
      <c r="F162" s="938">
        <f t="shared" si="10"/>
        <v>0</v>
      </c>
      <c r="G162" s="938" t="e">
        <f>SUM(D$5:D162)</f>
        <v>#VALUE!</v>
      </c>
      <c r="H162" s="938">
        <f>SUM(F$5:F162)</f>
        <v>0</v>
      </c>
    </row>
    <row r="163" spans="1:8" ht="14.1" customHeight="1">
      <c r="A163" s="885">
        <v>159</v>
      </c>
      <c r="B163" s="886">
        <f t="shared" si="8"/>
        <v>4.2911400600371449E-2</v>
      </c>
      <c r="C163" s="938" t="str">
        <f>IF(Innendurchmesser="","",Traktionsenergie!$D$26*(Parameter!$C$197+A163*BahnstrompreisZunahmeJahr))</f>
        <v/>
      </c>
      <c r="D163" s="938" t="e">
        <f t="shared" si="9"/>
        <v>#VALUE!</v>
      </c>
      <c r="E163" s="938">
        <f>IF(A163&lt;Parameter!$C$199*IF(Betriebsjahre&lt;&gt;"",Betriebsjahre,Betriebsjahre_Default),Traktionsenergie!$D$26*Parameter!$C$112*Parameter!$C$201/1000,Traktionsenergie!$D$26*Parameter!$C$113*Parameter!$C$201/1000)</f>
        <v>0</v>
      </c>
      <c r="F163" s="938">
        <f t="shared" si="10"/>
        <v>0</v>
      </c>
      <c r="G163" s="938" t="e">
        <f>SUM(D$5:D163)</f>
        <v>#VALUE!</v>
      </c>
      <c r="H163" s="938">
        <f>SUM(F$5:F163)</f>
        <v>0</v>
      </c>
    </row>
    <row r="164" spans="1:8" ht="14.1" customHeight="1">
      <c r="A164" s="885">
        <v>160</v>
      </c>
      <c r="B164" s="886">
        <f t="shared" si="8"/>
        <v>4.207000058859945E-2</v>
      </c>
      <c r="C164" s="938" t="str">
        <f>IF(Innendurchmesser="","",Traktionsenergie!$D$26*(Parameter!$C$197+A164*BahnstrompreisZunahmeJahr))</f>
        <v/>
      </c>
      <c r="D164" s="938" t="e">
        <f t="shared" si="9"/>
        <v>#VALUE!</v>
      </c>
      <c r="E164" s="938">
        <f>IF(A164&lt;Parameter!$C$199*IF(Betriebsjahre&lt;&gt;"",Betriebsjahre,Betriebsjahre_Default),Traktionsenergie!$D$26*Parameter!$C$112*Parameter!$C$201/1000,Traktionsenergie!$D$26*Parameter!$C$113*Parameter!$C$201/1000)</f>
        <v>0</v>
      </c>
      <c r="F164" s="938">
        <f t="shared" si="10"/>
        <v>0</v>
      </c>
      <c r="G164" s="938" t="e">
        <f>SUM(D$5:D164)</f>
        <v>#VALUE!</v>
      </c>
      <c r="H164" s="938">
        <f>SUM(F$5:F164)</f>
        <v>0</v>
      </c>
    </row>
    <row r="165" spans="1:8" ht="14.1" customHeight="1">
      <c r="A165" s="885">
        <v>161</v>
      </c>
      <c r="B165" s="886">
        <f t="shared" ref="B165:B196" si="11">(1+Diskontrate)^(-A165)</f>
        <v>4.124509861627397E-2</v>
      </c>
      <c r="C165" s="938" t="str">
        <f>IF(Innendurchmesser="","",Traktionsenergie!$D$26*(Parameter!$C$197+A165*BahnstrompreisZunahmeJahr))</f>
        <v/>
      </c>
      <c r="D165" s="938" t="e">
        <f t="shared" si="9"/>
        <v>#VALUE!</v>
      </c>
      <c r="E165" s="938">
        <f>IF(A165&lt;Parameter!$C$199*IF(Betriebsjahre&lt;&gt;"",Betriebsjahre,Betriebsjahre_Default),Traktionsenergie!$D$26*Parameter!$C$112*Parameter!$C$201/1000,Traktionsenergie!$D$26*Parameter!$C$113*Parameter!$C$201/1000)</f>
        <v>0</v>
      </c>
      <c r="F165" s="938">
        <f t="shared" si="10"/>
        <v>0</v>
      </c>
      <c r="G165" s="938" t="e">
        <f>SUM(D$5:D165)</f>
        <v>#VALUE!</v>
      </c>
      <c r="H165" s="938">
        <f>SUM(F$5:F165)</f>
        <v>0</v>
      </c>
    </row>
    <row r="166" spans="1:8" ht="14.1" customHeight="1">
      <c r="A166" s="885">
        <v>162</v>
      </c>
      <c r="B166" s="886">
        <f t="shared" si="11"/>
        <v>4.0436371192425463E-2</v>
      </c>
      <c r="C166" s="938" t="str">
        <f>IF(Innendurchmesser="","",Traktionsenergie!$D$26*(Parameter!$C$197+A166*BahnstrompreisZunahmeJahr))</f>
        <v/>
      </c>
      <c r="D166" s="938" t="e">
        <f t="shared" si="9"/>
        <v>#VALUE!</v>
      </c>
      <c r="E166" s="938">
        <f>IF(A166&lt;Parameter!$C$199*IF(Betriebsjahre&lt;&gt;"",Betriebsjahre,Betriebsjahre_Default),Traktionsenergie!$D$26*Parameter!$C$112*Parameter!$C$201/1000,Traktionsenergie!$D$26*Parameter!$C$113*Parameter!$C$201/1000)</f>
        <v>0</v>
      </c>
      <c r="F166" s="938">
        <f t="shared" si="10"/>
        <v>0</v>
      </c>
      <c r="G166" s="938" t="e">
        <f>SUM(D$5:D166)</f>
        <v>#VALUE!</v>
      </c>
      <c r="H166" s="938">
        <f>SUM(F$5:F166)</f>
        <v>0</v>
      </c>
    </row>
    <row r="167" spans="1:8" ht="14.1" customHeight="1">
      <c r="A167" s="885">
        <v>163</v>
      </c>
      <c r="B167" s="886">
        <f t="shared" si="11"/>
        <v>3.9643501169044575E-2</v>
      </c>
      <c r="C167" s="938" t="str">
        <f>IF(Innendurchmesser="","",Traktionsenergie!$D$26*(Parameter!$C$197+A167*BahnstrompreisZunahmeJahr))</f>
        <v/>
      </c>
      <c r="D167" s="938" t="e">
        <f t="shared" si="9"/>
        <v>#VALUE!</v>
      </c>
      <c r="E167" s="938">
        <f>IF(A167&lt;Parameter!$C$199*IF(Betriebsjahre&lt;&gt;"",Betriebsjahre,Betriebsjahre_Default),Traktionsenergie!$D$26*Parameter!$C$112*Parameter!$C$201/1000,Traktionsenergie!$D$26*Parameter!$C$113*Parameter!$C$201/1000)</f>
        <v>0</v>
      </c>
      <c r="F167" s="938">
        <f t="shared" si="10"/>
        <v>0</v>
      </c>
      <c r="G167" s="938" t="e">
        <f>SUM(D$5:D167)</f>
        <v>#VALUE!</v>
      </c>
      <c r="H167" s="938">
        <f>SUM(F$5:F167)</f>
        <v>0</v>
      </c>
    </row>
    <row r="168" spans="1:8" ht="14.1" customHeight="1">
      <c r="A168" s="885">
        <v>164</v>
      </c>
      <c r="B168" s="886">
        <f t="shared" si="11"/>
        <v>3.8866177616710372E-2</v>
      </c>
      <c r="C168" s="938" t="str">
        <f>IF(Innendurchmesser="","",Traktionsenergie!$D$26*(Parameter!$C$197+A168*BahnstrompreisZunahmeJahr))</f>
        <v/>
      </c>
      <c r="D168" s="938" t="e">
        <f t="shared" si="9"/>
        <v>#VALUE!</v>
      </c>
      <c r="E168" s="938">
        <f>IF(A168&lt;Parameter!$C$199*IF(Betriebsjahre&lt;&gt;"",Betriebsjahre,Betriebsjahre_Default),Traktionsenergie!$D$26*Parameter!$C$112*Parameter!$C$201/1000,Traktionsenergie!$D$26*Parameter!$C$113*Parameter!$C$201/1000)</f>
        <v>0</v>
      </c>
      <c r="F168" s="938">
        <f t="shared" si="10"/>
        <v>0</v>
      </c>
      <c r="G168" s="938" t="e">
        <f>SUM(D$5:D168)</f>
        <v>#VALUE!</v>
      </c>
      <c r="H168" s="938">
        <f>SUM(F$5:F168)</f>
        <v>0</v>
      </c>
    </row>
    <row r="169" spans="1:8" ht="14.1" customHeight="1">
      <c r="A169" s="885">
        <v>165</v>
      </c>
      <c r="B169" s="886">
        <f t="shared" si="11"/>
        <v>3.8104095702657222E-2</v>
      </c>
      <c r="C169" s="938" t="str">
        <f>IF(Innendurchmesser="","",Traktionsenergie!$D$26*(Parameter!$C$197+A169*BahnstrompreisZunahmeJahr))</f>
        <v/>
      </c>
      <c r="D169" s="938" t="e">
        <f t="shared" si="9"/>
        <v>#VALUE!</v>
      </c>
      <c r="E169" s="938">
        <f>IF(A169&lt;Parameter!$C$199*IF(Betriebsjahre&lt;&gt;"",Betriebsjahre,Betriebsjahre_Default),Traktionsenergie!$D$26*Parameter!$C$112*Parameter!$C$201/1000,Traktionsenergie!$D$26*Parameter!$C$113*Parameter!$C$201/1000)</f>
        <v>0</v>
      </c>
      <c r="F169" s="938">
        <f t="shared" si="10"/>
        <v>0</v>
      </c>
      <c r="G169" s="938" t="e">
        <f>SUM(D$5:D169)</f>
        <v>#VALUE!</v>
      </c>
      <c r="H169" s="938">
        <f>SUM(F$5:F169)</f>
        <v>0</v>
      </c>
    </row>
    <row r="170" spans="1:8" ht="14.1" customHeight="1">
      <c r="A170" s="885">
        <v>166</v>
      </c>
      <c r="B170" s="886">
        <f t="shared" si="11"/>
        <v>3.7356956571232565E-2</v>
      </c>
      <c r="C170" s="938" t="str">
        <f>IF(Innendurchmesser="","",Traktionsenergie!$D$26*(Parameter!$C$197+A170*BahnstrompreisZunahmeJahr))</f>
        <v/>
      </c>
      <c r="D170" s="938" t="e">
        <f t="shared" si="9"/>
        <v>#VALUE!</v>
      </c>
      <c r="E170" s="938">
        <f>IF(A170&lt;Parameter!$C$199*IF(Betriebsjahre&lt;&gt;"",Betriebsjahre,Betriebsjahre_Default),Traktionsenergie!$D$26*Parameter!$C$112*Parameter!$C$201/1000,Traktionsenergie!$D$26*Parameter!$C$113*Parameter!$C$201/1000)</f>
        <v>0</v>
      </c>
      <c r="F170" s="938">
        <f t="shared" si="10"/>
        <v>0</v>
      </c>
      <c r="G170" s="938" t="e">
        <f>SUM(D$5:D170)</f>
        <v>#VALUE!</v>
      </c>
      <c r="H170" s="938">
        <f>SUM(F$5:F170)</f>
        <v>0</v>
      </c>
    </row>
    <row r="171" spans="1:8" ht="14.1" customHeight="1">
      <c r="A171" s="885">
        <v>167</v>
      </c>
      <c r="B171" s="886">
        <f t="shared" si="11"/>
        <v>3.6624467226698612E-2</v>
      </c>
      <c r="C171" s="938" t="str">
        <f>IF(Innendurchmesser="","",Traktionsenergie!$D$26*(Parameter!$C$197+A171*BahnstrompreisZunahmeJahr))</f>
        <v/>
      </c>
      <c r="D171" s="938" t="e">
        <f t="shared" si="9"/>
        <v>#VALUE!</v>
      </c>
      <c r="E171" s="938">
        <f>IF(A171&lt;Parameter!$C$199*IF(Betriebsjahre&lt;&gt;"",Betriebsjahre,Betriebsjahre_Default),Traktionsenergie!$D$26*Parameter!$C$112*Parameter!$C$201/1000,Traktionsenergie!$D$26*Parameter!$C$113*Parameter!$C$201/1000)</f>
        <v>0</v>
      </c>
      <c r="F171" s="938">
        <f t="shared" si="10"/>
        <v>0</v>
      </c>
      <c r="G171" s="938" t="e">
        <f>SUM(D$5:D171)</f>
        <v>#VALUE!</v>
      </c>
      <c r="H171" s="938">
        <f>SUM(F$5:F171)</f>
        <v>0</v>
      </c>
    </row>
    <row r="172" spans="1:8" ht="14.1" customHeight="1">
      <c r="A172" s="885">
        <v>168</v>
      </c>
      <c r="B172" s="886">
        <f t="shared" si="11"/>
        <v>3.5906340418331961E-2</v>
      </c>
      <c r="C172" s="938" t="str">
        <f>IF(Innendurchmesser="","",Traktionsenergie!$D$26*(Parameter!$C$197+A172*BahnstrompreisZunahmeJahr))</f>
        <v/>
      </c>
      <c r="D172" s="938" t="e">
        <f t="shared" si="9"/>
        <v>#VALUE!</v>
      </c>
      <c r="E172" s="938">
        <f>IF(A172&lt;Parameter!$C$199*IF(Betriebsjahre&lt;&gt;"",Betriebsjahre,Betriebsjahre_Default),Traktionsenergie!$D$26*Parameter!$C$112*Parameter!$C$201/1000,Traktionsenergie!$D$26*Parameter!$C$113*Parameter!$C$201/1000)</f>
        <v>0</v>
      </c>
      <c r="F172" s="938">
        <f t="shared" si="10"/>
        <v>0</v>
      </c>
      <c r="G172" s="938" t="e">
        <f>SUM(D$5:D172)</f>
        <v>#VALUE!</v>
      </c>
      <c r="H172" s="938">
        <f>SUM(F$5:F172)</f>
        <v>0</v>
      </c>
    </row>
    <row r="173" spans="1:8" ht="14.1" customHeight="1">
      <c r="A173" s="885">
        <v>169</v>
      </c>
      <c r="B173" s="886">
        <f t="shared" si="11"/>
        <v>3.5202294527776429E-2</v>
      </c>
      <c r="C173" s="938" t="str">
        <f>IF(Innendurchmesser="","",Traktionsenergie!$D$26*(Parameter!$C$197+A173*BahnstrompreisZunahmeJahr))</f>
        <v/>
      </c>
      <c r="D173" s="938" t="e">
        <f t="shared" si="9"/>
        <v>#VALUE!</v>
      </c>
      <c r="E173" s="938">
        <f>IF(A173&lt;Parameter!$C$199*IF(Betriebsjahre&lt;&gt;"",Betriebsjahre,Betriebsjahre_Default),Traktionsenergie!$D$26*Parameter!$C$112*Parameter!$C$201/1000,Traktionsenergie!$D$26*Parameter!$C$113*Parameter!$C$201/1000)</f>
        <v>0</v>
      </c>
      <c r="F173" s="938">
        <f t="shared" si="10"/>
        <v>0</v>
      </c>
      <c r="G173" s="938" t="e">
        <f>SUM(D$5:D173)</f>
        <v>#VALUE!</v>
      </c>
      <c r="H173" s="938">
        <f>SUM(F$5:F173)</f>
        <v>0</v>
      </c>
    </row>
    <row r="174" spans="1:8" ht="14.1" customHeight="1">
      <c r="A174" s="885">
        <v>170</v>
      </c>
      <c r="B174" s="886">
        <f t="shared" si="11"/>
        <v>3.451205345860435E-2</v>
      </c>
      <c r="C174" s="938" t="str">
        <f>IF(Innendurchmesser="","",Traktionsenergie!$D$26*(Parameter!$C$197+A174*BahnstrompreisZunahmeJahr))</f>
        <v/>
      </c>
      <c r="D174" s="938" t="e">
        <f t="shared" si="9"/>
        <v>#VALUE!</v>
      </c>
      <c r="E174" s="938">
        <f>IF(A174&lt;Parameter!$C$199*IF(Betriebsjahre&lt;&gt;"",Betriebsjahre,Betriebsjahre_Default),Traktionsenergie!$D$26*Parameter!$C$112*Parameter!$C$201/1000,Traktionsenergie!$D$26*Parameter!$C$113*Parameter!$C$201/1000)</f>
        <v>0</v>
      </c>
      <c r="F174" s="938">
        <f t="shared" si="10"/>
        <v>0</v>
      </c>
      <c r="G174" s="938" t="e">
        <f>SUM(D$5:D174)</f>
        <v>#VALUE!</v>
      </c>
      <c r="H174" s="938">
        <f>SUM(F$5:F174)</f>
        <v>0</v>
      </c>
    </row>
    <row r="175" spans="1:8" ht="14.1" customHeight="1">
      <c r="A175" s="885">
        <v>171</v>
      </c>
      <c r="B175" s="886">
        <f t="shared" si="11"/>
        <v>3.3835346528043479E-2</v>
      </c>
      <c r="C175" s="938" t="str">
        <f>IF(Innendurchmesser="","",Traktionsenergie!$D$26*(Parameter!$C$197+A175*BahnstrompreisZunahmeJahr))</f>
        <v/>
      </c>
      <c r="D175" s="938" t="e">
        <f t="shared" si="9"/>
        <v>#VALUE!</v>
      </c>
      <c r="E175" s="938">
        <f>IF(A175&lt;Parameter!$C$199*IF(Betriebsjahre&lt;&gt;"",Betriebsjahre,Betriebsjahre_Default),Traktionsenergie!$D$26*Parameter!$C$112*Parameter!$C$201/1000,Traktionsenergie!$D$26*Parameter!$C$113*Parameter!$C$201/1000)</f>
        <v>0</v>
      </c>
      <c r="F175" s="938">
        <f t="shared" si="10"/>
        <v>0</v>
      </c>
      <c r="G175" s="938" t="e">
        <f>SUM(D$5:D175)</f>
        <v>#VALUE!</v>
      </c>
      <c r="H175" s="938">
        <f>SUM(F$5:F175)</f>
        <v>0</v>
      </c>
    </row>
    <row r="176" spans="1:8" ht="14.1" customHeight="1">
      <c r="A176" s="885">
        <v>172</v>
      </c>
      <c r="B176" s="886">
        <f t="shared" si="11"/>
        <v>3.3171908360826938E-2</v>
      </c>
      <c r="C176" s="938" t="str">
        <f>IF(Innendurchmesser="","",Traktionsenergie!$D$26*(Parameter!$C$197+A176*BahnstrompreisZunahmeJahr))</f>
        <v/>
      </c>
      <c r="D176" s="938" t="e">
        <f t="shared" si="9"/>
        <v>#VALUE!</v>
      </c>
      <c r="E176" s="938">
        <f>IF(A176&lt;Parameter!$C$199*IF(Betriebsjahre&lt;&gt;"",Betriebsjahre,Betriebsjahre_Default),Traktionsenergie!$D$26*Parameter!$C$112*Parameter!$C$201/1000,Traktionsenergie!$D$26*Parameter!$C$113*Parameter!$C$201/1000)</f>
        <v>0</v>
      </c>
      <c r="F176" s="938">
        <f t="shared" si="10"/>
        <v>0</v>
      </c>
      <c r="G176" s="938" t="e">
        <f>SUM(D$5:D176)</f>
        <v>#VALUE!</v>
      </c>
      <c r="H176" s="938">
        <f>SUM(F$5:F176)</f>
        <v>0</v>
      </c>
    </row>
    <row r="177" spans="1:8" ht="14.1" customHeight="1">
      <c r="A177" s="885">
        <v>173</v>
      </c>
      <c r="B177" s="886">
        <f t="shared" si="11"/>
        <v>3.2521478785124451E-2</v>
      </c>
      <c r="C177" s="938" t="str">
        <f>IF(Innendurchmesser="","",Traktionsenergie!$D$26*(Parameter!$C$197+A177*BahnstrompreisZunahmeJahr))</f>
        <v/>
      </c>
      <c r="D177" s="938" t="e">
        <f t="shared" si="9"/>
        <v>#VALUE!</v>
      </c>
      <c r="E177" s="938">
        <f>IF(A177&lt;Parameter!$C$199*IF(Betriebsjahre&lt;&gt;"",Betriebsjahre,Betriebsjahre_Default),Traktionsenergie!$D$26*Parameter!$C$112*Parameter!$C$201/1000,Traktionsenergie!$D$26*Parameter!$C$113*Parameter!$C$201/1000)</f>
        <v>0</v>
      </c>
      <c r="F177" s="938">
        <f t="shared" si="10"/>
        <v>0</v>
      </c>
      <c r="G177" s="938" t="e">
        <f>SUM(D$5:D177)</f>
        <v>#VALUE!</v>
      </c>
      <c r="H177" s="938">
        <f>SUM(F$5:F177)</f>
        <v>0</v>
      </c>
    </row>
    <row r="178" spans="1:8" ht="14.1" customHeight="1">
      <c r="A178" s="885">
        <v>174</v>
      </c>
      <c r="B178" s="886">
        <f t="shared" si="11"/>
        <v>3.1883802730514159E-2</v>
      </c>
      <c r="C178" s="938" t="str">
        <f>IF(Innendurchmesser="","",Traktionsenergie!$D$26*(Parameter!$C$197+A178*BahnstrompreisZunahmeJahr))</f>
        <v/>
      </c>
      <c r="D178" s="938" t="e">
        <f t="shared" si="9"/>
        <v>#VALUE!</v>
      </c>
      <c r="E178" s="938">
        <f>IF(A178&lt;Parameter!$C$199*IF(Betriebsjahre&lt;&gt;"",Betriebsjahre,Betriebsjahre_Default),Traktionsenergie!$D$26*Parameter!$C$112*Parameter!$C$201/1000,Traktionsenergie!$D$26*Parameter!$C$113*Parameter!$C$201/1000)</f>
        <v>0</v>
      </c>
      <c r="F178" s="938">
        <f t="shared" si="10"/>
        <v>0</v>
      </c>
      <c r="G178" s="938" t="e">
        <f>SUM(D$5:D178)</f>
        <v>#VALUE!</v>
      </c>
      <c r="H178" s="938">
        <f>SUM(F$5:F178)</f>
        <v>0</v>
      </c>
    </row>
    <row r="179" spans="1:8" ht="14.1" customHeight="1">
      <c r="A179" s="885">
        <v>175</v>
      </c>
      <c r="B179" s="886">
        <f t="shared" si="11"/>
        <v>3.1258630127955073E-2</v>
      </c>
      <c r="C179" s="938" t="str">
        <f>IF(Innendurchmesser="","",Traktionsenergie!$D$26*(Parameter!$C$197+A179*BahnstrompreisZunahmeJahr))</f>
        <v/>
      </c>
      <c r="D179" s="938" t="e">
        <f t="shared" si="9"/>
        <v>#VALUE!</v>
      </c>
      <c r="E179" s="938">
        <f>IF(A179&lt;Parameter!$C$199*IF(Betriebsjahre&lt;&gt;"",Betriebsjahre,Betriebsjahre_Default),Traktionsenergie!$D$26*Parameter!$C$112*Parameter!$C$201/1000,Traktionsenergie!$D$26*Parameter!$C$113*Parameter!$C$201/1000)</f>
        <v>0</v>
      </c>
      <c r="F179" s="938">
        <f t="shared" si="10"/>
        <v>0</v>
      </c>
      <c r="G179" s="938" t="e">
        <f>SUM(D$5:D179)</f>
        <v>#VALUE!</v>
      </c>
      <c r="H179" s="938">
        <f>SUM(F$5:F179)</f>
        <v>0</v>
      </c>
    </row>
    <row r="180" spans="1:8" ht="14.1" customHeight="1">
      <c r="A180" s="885">
        <v>176</v>
      </c>
      <c r="B180" s="886">
        <f t="shared" si="11"/>
        <v>3.0645715811720649E-2</v>
      </c>
      <c r="C180" s="938" t="str">
        <f>IF(Innendurchmesser="","",Traktionsenergie!$D$26*(Parameter!$C$197+A180*BahnstrompreisZunahmeJahr))</f>
        <v/>
      </c>
      <c r="D180" s="938" t="e">
        <f t="shared" si="9"/>
        <v>#VALUE!</v>
      </c>
      <c r="E180" s="938">
        <f>IF(A180&lt;Parameter!$C$199*IF(Betriebsjahre&lt;&gt;"",Betriebsjahre,Betriebsjahre_Default),Traktionsenergie!$D$26*Parameter!$C$112*Parameter!$C$201/1000,Traktionsenergie!$D$26*Parameter!$C$113*Parameter!$C$201/1000)</f>
        <v>0</v>
      </c>
      <c r="F180" s="938">
        <f t="shared" si="10"/>
        <v>0</v>
      </c>
      <c r="G180" s="938" t="e">
        <f>SUM(D$5:D180)</f>
        <v>#VALUE!</v>
      </c>
      <c r="H180" s="938">
        <f>SUM(F$5:F180)</f>
        <v>0</v>
      </c>
    </row>
    <row r="181" spans="1:8" ht="14.1" customHeight="1">
      <c r="A181" s="885">
        <v>177</v>
      </c>
      <c r="B181" s="886">
        <f t="shared" si="11"/>
        <v>3.0044819423255539E-2</v>
      </c>
      <c r="C181" s="938" t="str">
        <f>IF(Innendurchmesser="","",Traktionsenergie!$D$26*(Parameter!$C$197+A181*BahnstrompreisZunahmeJahr))</f>
        <v/>
      </c>
      <c r="D181" s="938" t="e">
        <f t="shared" si="9"/>
        <v>#VALUE!</v>
      </c>
      <c r="E181" s="938">
        <f>IF(A181&lt;Parameter!$C$199*IF(Betriebsjahre&lt;&gt;"",Betriebsjahre,Betriebsjahre_Default),Traktionsenergie!$D$26*Parameter!$C$112*Parameter!$C$201/1000,Traktionsenergie!$D$26*Parameter!$C$113*Parameter!$C$201/1000)</f>
        <v>0</v>
      </c>
      <c r="F181" s="938">
        <f t="shared" si="10"/>
        <v>0</v>
      </c>
      <c r="G181" s="938" t="e">
        <f>SUM(D$5:D181)</f>
        <v>#VALUE!</v>
      </c>
      <c r="H181" s="938">
        <f>SUM(F$5:F181)</f>
        <v>0</v>
      </c>
    </row>
    <row r="182" spans="1:8" ht="14.1" customHeight="1">
      <c r="A182" s="885">
        <v>178</v>
      </c>
      <c r="B182" s="886">
        <f t="shared" si="11"/>
        <v>2.94557053169172E-2</v>
      </c>
      <c r="C182" s="938" t="str">
        <f>IF(Innendurchmesser="","",Traktionsenergie!$D$26*(Parameter!$C$197+A182*BahnstrompreisZunahmeJahr))</f>
        <v/>
      </c>
      <c r="D182" s="938" t="e">
        <f t="shared" si="9"/>
        <v>#VALUE!</v>
      </c>
      <c r="E182" s="938">
        <f>IF(A182&lt;Parameter!$C$199*IF(Betriebsjahre&lt;&gt;"",Betriebsjahre,Betriebsjahre_Default),Traktionsenergie!$D$26*Parameter!$C$112*Parameter!$C$201/1000,Traktionsenergie!$D$26*Parameter!$C$113*Parameter!$C$201/1000)</f>
        <v>0</v>
      </c>
      <c r="F182" s="938">
        <f t="shared" si="10"/>
        <v>0</v>
      </c>
      <c r="G182" s="938" t="e">
        <f>SUM(D$5:D182)</f>
        <v>#VALUE!</v>
      </c>
      <c r="H182" s="938">
        <f>SUM(F$5:F182)</f>
        <v>0</v>
      </c>
    </row>
    <row r="183" spans="1:8" ht="14.1" customHeight="1">
      <c r="A183" s="885">
        <v>179</v>
      </c>
      <c r="B183" s="886">
        <f t="shared" si="11"/>
        <v>2.8878142467565881E-2</v>
      </c>
      <c r="C183" s="938" t="str">
        <f>IF(Innendurchmesser="","",Traktionsenergie!$D$26*(Parameter!$C$197+A183*BahnstrompreisZunahmeJahr))</f>
        <v/>
      </c>
      <c r="D183" s="938" t="e">
        <f t="shared" si="9"/>
        <v>#VALUE!</v>
      </c>
      <c r="E183" s="938">
        <f>IF(A183&lt;Parameter!$C$199*IF(Betriebsjahre&lt;&gt;"",Betriebsjahre,Betriebsjahre_Default),Traktionsenergie!$D$26*Parameter!$C$112*Parameter!$C$201/1000,Traktionsenergie!$D$26*Parameter!$C$113*Parameter!$C$201/1000)</f>
        <v>0</v>
      </c>
      <c r="F183" s="938">
        <f t="shared" si="10"/>
        <v>0</v>
      </c>
      <c r="G183" s="938" t="e">
        <f>SUM(D$5:D183)</f>
        <v>#VALUE!</v>
      </c>
      <c r="H183" s="938">
        <f>SUM(F$5:F183)</f>
        <v>0</v>
      </c>
    </row>
    <row r="184" spans="1:8" ht="14.1" customHeight="1">
      <c r="A184" s="885">
        <v>180</v>
      </c>
      <c r="B184" s="886">
        <f t="shared" si="11"/>
        <v>2.831190437996655E-2</v>
      </c>
      <c r="C184" s="938" t="str">
        <f>IF(Innendurchmesser="","",Traktionsenergie!$D$26*(Parameter!$C$197+A184*BahnstrompreisZunahmeJahr))</f>
        <v/>
      </c>
      <c r="D184" s="938" t="e">
        <f t="shared" si="9"/>
        <v>#VALUE!</v>
      </c>
      <c r="E184" s="938">
        <f>IF(A184&lt;Parameter!$C$199*IF(Betriebsjahre&lt;&gt;"",Betriebsjahre,Betriebsjahre_Default),Traktionsenergie!$D$26*Parameter!$C$112*Parameter!$C$201/1000,Traktionsenergie!$D$26*Parameter!$C$113*Parameter!$C$201/1000)</f>
        <v>0</v>
      </c>
      <c r="F184" s="938">
        <f t="shared" si="10"/>
        <v>0</v>
      </c>
      <c r="G184" s="938" t="e">
        <f>SUM(D$5:D184)</f>
        <v>#VALUE!</v>
      </c>
      <c r="H184" s="938">
        <f>SUM(F$5:F184)</f>
        <v>0</v>
      </c>
    </row>
    <row r="185" spans="1:8" ht="14.1" customHeight="1">
      <c r="A185" s="885">
        <v>181</v>
      </c>
      <c r="B185" s="886">
        <f t="shared" si="11"/>
        <v>2.7756768999967204E-2</v>
      </c>
      <c r="C185" s="938" t="str">
        <f>IF(Innendurchmesser="","",Traktionsenergie!$D$26*(Parameter!$C$197+A185*BahnstrompreisZunahmeJahr))</f>
        <v/>
      </c>
      <c r="D185" s="938" t="e">
        <f t="shared" si="9"/>
        <v>#VALUE!</v>
      </c>
      <c r="E185" s="938">
        <f>IF(A185&lt;Parameter!$C$199*IF(Betriebsjahre&lt;&gt;"",Betriebsjahre,Betriebsjahre_Default),Traktionsenergie!$D$26*Parameter!$C$112*Parameter!$C$201/1000,Traktionsenergie!$D$26*Parameter!$C$113*Parameter!$C$201/1000)</f>
        <v>0</v>
      </c>
      <c r="F185" s="938">
        <f t="shared" si="10"/>
        <v>0</v>
      </c>
      <c r="G185" s="938" t="e">
        <f>SUM(D$5:D185)</f>
        <v>#VALUE!</v>
      </c>
      <c r="H185" s="938">
        <f>SUM(F$5:F185)</f>
        <v>0</v>
      </c>
    </row>
    <row r="186" spans="1:8" ht="14.1" customHeight="1">
      <c r="A186" s="885">
        <v>182</v>
      </c>
      <c r="B186" s="886">
        <f t="shared" si="11"/>
        <v>2.7212518627418823E-2</v>
      </c>
      <c r="C186" s="938" t="str">
        <f>IF(Innendurchmesser="","",Traktionsenergie!$D$26*(Parameter!$C$197+A186*BahnstrompreisZunahmeJahr))</f>
        <v/>
      </c>
      <c r="D186" s="938" t="e">
        <f t="shared" si="9"/>
        <v>#VALUE!</v>
      </c>
      <c r="E186" s="938">
        <f>IF(A186&lt;Parameter!$C$199*IF(Betriebsjahre&lt;&gt;"",Betriebsjahre,Betriebsjahre_Default),Traktionsenergie!$D$26*Parameter!$C$112*Parameter!$C$201/1000,Traktionsenergie!$D$26*Parameter!$C$113*Parameter!$C$201/1000)</f>
        <v>0</v>
      </c>
      <c r="F186" s="938">
        <f t="shared" si="10"/>
        <v>0</v>
      </c>
      <c r="G186" s="938" t="e">
        <f>SUM(D$5:D186)</f>
        <v>#VALUE!</v>
      </c>
      <c r="H186" s="938">
        <f>SUM(F$5:F186)</f>
        <v>0</v>
      </c>
    </row>
    <row r="187" spans="1:8" ht="14.1" customHeight="1">
      <c r="A187" s="885">
        <v>183</v>
      </c>
      <c r="B187" s="886">
        <f t="shared" si="11"/>
        <v>2.6678939830802779E-2</v>
      </c>
      <c r="C187" s="938" t="str">
        <f>IF(Innendurchmesser="","",Traktionsenergie!$D$26*(Parameter!$C$197+A187*BahnstrompreisZunahmeJahr))</f>
        <v/>
      </c>
      <c r="D187" s="938" t="e">
        <f t="shared" si="9"/>
        <v>#VALUE!</v>
      </c>
      <c r="E187" s="938">
        <f>IF(A187&lt;Parameter!$C$199*IF(Betriebsjahre&lt;&gt;"",Betriebsjahre,Betriebsjahre_Default),Traktionsenergie!$D$26*Parameter!$C$112*Parameter!$C$201/1000,Traktionsenergie!$D$26*Parameter!$C$113*Parameter!$C$201/1000)</f>
        <v>0</v>
      </c>
      <c r="F187" s="938">
        <f t="shared" si="10"/>
        <v>0</v>
      </c>
      <c r="G187" s="938" t="e">
        <f>SUM(D$5:D187)</f>
        <v>#VALUE!</v>
      </c>
      <c r="H187" s="938">
        <f>SUM(F$5:F187)</f>
        <v>0</v>
      </c>
    </row>
    <row r="188" spans="1:8" ht="14.1" customHeight="1">
      <c r="A188" s="885">
        <v>184</v>
      </c>
      <c r="B188" s="886">
        <f t="shared" si="11"/>
        <v>2.6155823363532133E-2</v>
      </c>
      <c r="C188" s="938" t="str">
        <f>IF(Innendurchmesser="","",Traktionsenergie!$D$26*(Parameter!$C$197+A188*BahnstrompreisZunahmeJahr))</f>
        <v/>
      </c>
      <c r="D188" s="938" t="e">
        <f t="shared" si="9"/>
        <v>#VALUE!</v>
      </c>
      <c r="E188" s="938">
        <f>IF(A188&lt;Parameter!$C$199*IF(Betriebsjahre&lt;&gt;"",Betriebsjahre,Betriebsjahre_Default),Traktionsenergie!$D$26*Parameter!$C$112*Parameter!$C$201/1000,Traktionsenergie!$D$26*Parameter!$C$113*Parameter!$C$201/1000)</f>
        <v>0</v>
      </c>
      <c r="F188" s="938">
        <f t="shared" si="10"/>
        <v>0</v>
      </c>
      <c r="G188" s="938" t="e">
        <f>SUM(D$5:D188)</f>
        <v>#VALUE!</v>
      </c>
      <c r="H188" s="938">
        <f>SUM(F$5:F188)</f>
        <v>0</v>
      </c>
    </row>
    <row r="189" spans="1:8" ht="14.1" customHeight="1">
      <c r="A189" s="885">
        <v>185</v>
      </c>
      <c r="B189" s="886">
        <f t="shared" si="11"/>
        <v>2.5642964081894249E-2</v>
      </c>
      <c r="C189" s="938" t="str">
        <f>IF(Innendurchmesser="","",Traktionsenergie!$D$26*(Parameter!$C$197+A189*BahnstrompreisZunahmeJahr))</f>
        <v/>
      </c>
      <c r="D189" s="938" t="e">
        <f t="shared" si="9"/>
        <v>#VALUE!</v>
      </c>
      <c r="E189" s="938">
        <f>IF(A189&lt;Parameter!$C$199*IF(Betriebsjahre&lt;&gt;"",Betriebsjahre,Betriebsjahre_Default),Traktionsenergie!$D$26*Parameter!$C$112*Parameter!$C$201/1000,Traktionsenergie!$D$26*Parameter!$C$113*Parameter!$C$201/1000)</f>
        <v>0</v>
      </c>
      <c r="F189" s="938">
        <f t="shared" si="10"/>
        <v>0</v>
      </c>
      <c r="G189" s="938" t="e">
        <f>SUM(D$5:D189)</f>
        <v>#VALUE!</v>
      </c>
      <c r="H189" s="938">
        <f>SUM(F$5:F189)</f>
        <v>0</v>
      </c>
    </row>
    <row r="190" spans="1:8" ht="14.1" customHeight="1">
      <c r="A190" s="885">
        <v>186</v>
      </c>
      <c r="B190" s="886">
        <f t="shared" si="11"/>
        <v>2.5140160864602204E-2</v>
      </c>
      <c r="C190" s="938" t="str">
        <f>IF(Innendurchmesser="","",Traktionsenergie!$D$26*(Parameter!$C$197+A190*BahnstrompreisZunahmeJahr))</f>
        <v/>
      </c>
      <c r="D190" s="938" t="e">
        <f t="shared" si="9"/>
        <v>#VALUE!</v>
      </c>
      <c r="E190" s="938">
        <f>IF(A190&lt;Parameter!$C$199*IF(Betriebsjahre&lt;&gt;"",Betriebsjahre,Betriebsjahre_Default),Traktionsenergie!$D$26*Parameter!$C$112*Parameter!$C$201/1000,Traktionsenergie!$D$26*Parameter!$C$113*Parameter!$C$201/1000)</f>
        <v>0</v>
      </c>
      <c r="F190" s="938">
        <f t="shared" si="10"/>
        <v>0</v>
      </c>
      <c r="G190" s="938" t="e">
        <f>SUM(D$5:D190)</f>
        <v>#VALUE!</v>
      </c>
      <c r="H190" s="938">
        <f>SUM(F$5:F190)</f>
        <v>0</v>
      </c>
    </row>
    <row r="191" spans="1:8" ht="14.1" customHeight="1">
      <c r="A191" s="885">
        <v>187</v>
      </c>
      <c r="B191" s="886">
        <f t="shared" si="11"/>
        <v>2.4647216533923731E-2</v>
      </c>
      <c r="C191" s="938" t="str">
        <f>IF(Innendurchmesser="","",Traktionsenergie!$D$26*(Parameter!$C$197+A191*BahnstrompreisZunahmeJahr))</f>
        <v/>
      </c>
      <c r="D191" s="938" t="e">
        <f t="shared" si="9"/>
        <v>#VALUE!</v>
      </c>
      <c r="E191" s="938">
        <f>IF(A191&lt;Parameter!$C$199*IF(Betriebsjahre&lt;&gt;"",Betriebsjahre,Betriebsjahre_Default),Traktionsenergie!$D$26*Parameter!$C$112*Parameter!$C$201/1000,Traktionsenergie!$D$26*Parameter!$C$113*Parameter!$C$201/1000)</f>
        <v>0</v>
      </c>
      <c r="F191" s="938">
        <f t="shared" si="10"/>
        <v>0</v>
      </c>
      <c r="G191" s="938" t="e">
        <f>SUM(D$5:D191)</f>
        <v>#VALUE!</v>
      </c>
      <c r="H191" s="938">
        <f>SUM(F$5:F191)</f>
        <v>0</v>
      </c>
    </row>
    <row r="192" spans="1:8" ht="14.1" customHeight="1">
      <c r="A192" s="885">
        <v>188</v>
      </c>
      <c r="B192" s="886">
        <f t="shared" si="11"/>
        <v>2.4163937778356598E-2</v>
      </c>
      <c r="C192" s="938" t="str">
        <f>IF(Innendurchmesser="","",Traktionsenergie!$D$26*(Parameter!$C$197+A192*BahnstrompreisZunahmeJahr))</f>
        <v/>
      </c>
      <c r="D192" s="938" t="e">
        <f t="shared" si="9"/>
        <v>#VALUE!</v>
      </c>
      <c r="E192" s="938">
        <f>IF(A192&lt;Parameter!$C$199*IF(Betriebsjahre&lt;&gt;"",Betriebsjahre,Betriebsjahre_Default),Traktionsenergie!$D$26*Parameter!$C$112*Parameter!$C$201/1000,Traktionsenergie!$D$26*Parameter!$C$113*Parameter!$C$201/1000)</f>
        <v>0</v>
      </c>
      <c r="F192" s="938">
        <f t="shared" si="10"/>
        <v>0</v>
      </c>
      <c r="G192" s="938" t="e">
        <f>SUM(D$5:D192)</f>
        <v>#VALUE!</v>
      </c>
      <c r="H192" s="938">
        <f>SUM(F$5:F192)</f>
        <v>0</v>
      </c>
    </row>
    <row r="193" spans="1:8" ht="14.1" customHeight="1">
      <c r="A193" s="885">
        <v>189</v>
      </c>
      <c r="B193" s="886">
        <f t="shared" si="11"/>
        <v>2.3690135076820197E-2</v>
      </c>
      <c r="C193" s="938" t="str">
        <f>IF(Innendurchmesser="","",Traktionsenergie!$D$26*(Parameter!$C$197+A193*BahnstrompreisZunahmeJahr))</f>
        <v/>
      </c>
      <c r="D193" s="938" t="e">
        <f t="shared" si="9"/>
        <v>#VALUE!</v>
      </c>
      <c r="E193" s="938">
        <f>IF(A193&lt;Parameter!$C$199*IF(Betriebsjahre&lt;&gt;"",Betriebsjahre,Betriebsjahre_Default),Traktionsenergie!$D$26*Parameter!$C$112*Parameter!$C$201/1000,Traktionsenergie!$D$26*Parameter!$C$113*Parameter!$C$201/1000)</f>
        <v>0</v>
      </c>
      <c r="F193" s="938">
        <f t="shared" si="10"/>
        <v>0</v>
      </c>
      <c r="G193" s="938" t="e">
        <f>SUM(D$5:D193)</f>
        <v>#VALUE!</v>
      </c>
      <c r="H193" s="938">
        <f>SUM(F$5:F193)</f>
        <v>0</v>
      </c>
    </row>
    <row r="194" spans="1:8" ht="14.1" customHeight="1">
      <c r="A194" s="885">
        <v>190</v>
      </c>
      <c r="B194" s="886">
        <f t="shared" si="11"/>
        <v>2.322562262433352E-2</v>
      </c>
      <c r="C194" s="938" t="str">
        <f>IF(Innendurchmesser="","",Traktionsenergie!$D$26*(Parameter!$C$197+A194*BahnstrompreisZunahmeJahr))</f>
        <v/>
      </c>
      <c r="D194" s="938" t="e">
        <f t="shared" si="9"/>
        <v>#VALUE!</v>
      </c>
      <c r="E194" s="938">
        <f>IF(A194&lt;Parameter!$C$199*IF(Betriebsjahre&lt;&gt;"",Betriebsjahre,Betriebsjahre_Default),Traktionsenergie!$D$26*Parameter!$C$112*Parameter!$C$201/1000,Traktionsenergie!$D$26*Parameter!$C$113*Parameter!$C$201/1000)</f>
        <v>0</v>
      </c>
      <c r="F194" s="938">
        <f t="shared" si="10"/>
        <v>0</v>
      </c>
      <c r="G194" s="938" t="e">
        <f>SUM(D$5:D194)</f>
        <v>#VALUE!</v>
      </c>
      <c r="H194" s="938">
        <f>SUM(F$5:F194)</f>
        <v>0</v>
      </c>
    </row>
    <row r="195" spans="1:8" ht="14.1" customHeight="1">
      <c r="A195" s="885">
        <v>191</v>
      </c>
      <c r="B195" s="886">
        <f t="shared" si="11"/>
        <v>2.2770218259150515E-2</v>
      </c>
      <c r="C195" s="938" t="str">
        <f>IF(Innendurchmesser="","",Traktionsenergie!$D$26*(Parameter!$C$197+A195*BahnstrompreisZunahmeJahr))</f>
        <v/>
      </c>
      <c r="D195" s="938" t="e">
        <f t="shared" si="9"/>
        <v>#VALUE!</v>
      </c>
      <c r="E195" s="938">
        <f>IF(A195&lt;Parameter!$C$199*IF(Betriebsjahre&lt;&gt;"",Betriebsjahre,Betriebsjahre_Default),Traktionsenergie!$D$26*Parameter!$C$112*Parameter!$C$201/1000,Traktionsenergie!$D$26*Parameter!$C$113*Parameter!$C$201/1000)</f>
        <v>0</v>
      </c>
      <c r="F195" s="938">
        <f t="shared" si="10"/>
        <v>0</v>
      </c>
      <c r="G195" s="938" t="e">
        <f>SUM(D$5:D195)</f>
        <v>#VALUE!</v>
      </c>
      <c r="H195" s="938">
        <f>SUM(F$5:F195)</f>
        <v>0</v>
      </c>
    </row>
    <row r="196" spans="1:8" ht="14.1" customHeight="1">
      <c r="A196" s="885">
        <v>192</v>
      </c>
      <c r="B196" s="886">
        <f t="shared" si="11"/>
        <v>2.2323743391324032E-2</v>
      </c>
      <c r="C196" s="938" t="str">
        <f>IF(Innendurchmesser="","",Traktionsenergie!$D$26*(Parameter!$C$197+A196*BahnstrompreisZunahmeJahr))</f>
        <v/>
      </c>
      <c r="D196" s="938" t="e">
        <f t="shared" si="9"/>
        <v>#VALUE!</v>
      </c>
      <c r="E196" s="938">
        <f>IF(A196&lt;Parameter!$C$199*IF(Betriebsjahre&lt;&gt;"",Betriebsjahre,Betriebsjahre_Default),Traktionsenergie!$D$26*Parameter!$C$112*Parameter!$C$201/1000,Traktionsenergie!$D$26*Parameter!$C$113*Parameter!$C$201/1000)</f>
        <v>0</v>
      </c>
      <c r="F196" s="938">
        <f t="shared" si="10"/>
        <v>0</v>
      </c>
      <c r="G196" s="938" t="e">
        <f>SUM(D$5:D196)</f>
        <v>#VALUE!</v>
      </c>
      <c r="H196" s="938">
        <f>SUM(F$5:F196)</f>
        <v>0</v>
      </c>
    </row>
    <row r="197" spans="1:8" ht="14.1" customHeight="1">
      <c r="A197" s="885">
        <v>193</v>
      </c>
      <c r="B197" s="886">
        <f t="shared" ref="B197:B204" si="12">(1+Diskontrate)^(-A197)</f>
        <v>2.1886022932670619E-2</v>
      </c>
      <c r="C197" s="938" t="str">
        <f>IF(Innendurchmesser="","",Traktionsenergie!$D$26*(Parameter!$C$197+A197*BahnstrompreisZunahmeJahr))</f>
        <v/>
      </c>
      <c r="D197" s="938" t="e">
        <f t="shared" ref="D197:D204" si="13">C197*B197</f>
        <v>#VALUE!</v>
      </c>
      <c r="E197" s="938">
        <f>IF(A197&lt;Parameter!$C$199*IF(Betriebsjahre&lt;&gt;"",Betriebsjahre,Betriebsjahre_Default),Traktionsenergie!$D$26*Parameter!$C$112*Parameter!$C$201/1000,Traktionsenergie!$D$26*Parameter!$C$113*Parameter!$C$201/1000)</f>
        <v>0</v>
      </c>
      <c r="F197" s="938">
        <f t="shared" si="10"/>
        <v>0</v>
      </c>
      <c r="G197" s="938" t="e">
        <f>SUM(D$5:D197)</f>
        <v>#VALUE!</v>
      </c>
      <c r="H197" s="938">
        <f>SUM(F$5:F197)</f>
        <v>0</v>
      </c>
    </row>
    <row r="198" spans="1:8" ht="14.1" customHeight="1">
      <c r="A198" s="885">
        <v>194</v>
      </c>
      <c r="B198" s="886">
        <f t="shared" si="12"/>
        <v>2.1456885228108451E-2</v>
      </c>
      <c r="C198" s="938" t="str">
        <f>IF(Innendurchmesser="","",Traktionsenergie!$D$26*(Parameter!$C$197+A198*BahnstrompreisZunahmeJahr))</f>
        <v/>
      </c>
      <c r="D198" s="938" t="e">
        <f t="shared" si="13"/>
        <v>#VALUE!</v>
      </c>
      <c r="E198" s="938">
        <f>IF(A198&lt;Parameter!$C$199*IF(Betriebsjahre&lt;&gt;"",Betriebsjahre,Betriebsjahre_Default),Traktionsenergie!$D$26*Parameter!$C$112*Parameter!$C$201/1000,Traktionsenergie!$D$26*Parameter!$C$113*Parameter!$C$201/1000)</f>
        <v>0</v>
      </c>
      <c r="F198" s="938">
        <f t="shared" ref="F198:F204" si="14">E198*B198</f>
        <v>0</v>
      </c>
      <c r="G198" s="938" t="e">
        <f>SUM(D$5:D198)</f>
        <v>#VALUE!</v>
      </c>
      <c r="H198" s="938">
        <f>SUM(F$5:F198)</f>
        <v>0</v>
      </c>
    </row>
    <row r="199" spans="1:8" ht="14.1" customHeight="1">
      <c r="A199" s="885">
        <v>195</v>
      </c>
      <c r="B199" s="886">
        <f t="shared" si="12"/>
        <v>2.1036161988341618E-2</v>
      </c>
      <c r="C199" s="938" t="str">
        <f>IF(Innendurchmesser="","",Traktionsenergie!$D$26*(Parameter!$C$197+A199*BahnstrompreisZunahmeJahr))</f>
        <v/>
      </c>
      <c r="D199" s="938" t="e">
        <f t="shared" si="13"/>
        <v>#VALUE!</v>
      </c>
      <c r="E199" s="938">
        <f>IF(A199&lt;Parameter!$C$199*IF(Betriebsjahre&lt;&gt;"",Betriebsjahre,Betriebsjahre_Default),Traktionsenergie!$D$26*Parameter!$C$112*Parameter!$C$201/1000,Traktionsenergie!$D$26*Parameter!$C$113*Parameter!$C$201/1000)</f>
        <v>0</v>
      </c>
      <c r="F199" s="938">
        <f t="shared" si="14"/>
        <v>0</v>
      </c>
      <c r="G199" s="938" t="e">
        <f>SUM(D$5:D199)</f>
        <v>#VALUE!</v>
      </c>
      <c r="H199" s="938">
        <f>SUM(F$5:F199)</f>
        <v>0</v>
      </c>
    </row>
    <row r="200" spans="1:8" ht="14.1" customHeight="1">
      <c r="A200" s="885">
        <v>196</v>
      </c>
      <c r="B200" s="886">
        <f t="shared" si="12"/>
        <v>2.0623688223864334E-2</v>
      </c>
      <c r="C200" s="938" t="str">
        <f>IF(Innendurchmesser="","",Traktionsenergie!$D$26*(Parameter!$C$197+A200*BahnstrompreisZunahmeJahr))</f>
        <v/>
      </c>
      <c r="D200" s="938" t="e">
        <f t="shared" si="13"/>
        <v>#VALUE!</v>
      </c>
      <c r="E200" s="938">
        <f>IF(A200&lt;Parameter!$C$199*IF(Betriebsjahre&lt;&gt;"",Betriebsjahre,Betriebsjahre_Default),Traktionsenergie!$D$26*Parameter!$C$112*Parameter!$C$201/1000,Traktionsenergie!$D$26*Parameter!$C$113*Parameter!$C$201/1000)</f>
        <v>0</v>
      </c>
      <c r="F200" s="938">
        <f t="shared" si="14"/>
        <v>0</v>
      </c>
      <c r="G200" s="938" t="e">
        <f>SUM(D$5:D200)</f>
        <v>#VALUE!</v>
      </c>
      <c r="H200" s="938">
        <f>SUM(F$5:F200)</f>
        <v>0</v>
      </c>
    </row>
    <row r="201" spans="1:8" ht="14.1" customHeight="1">
      <c r="A201" s="885">
        <v>197</v>
      </c>
      <c r="B201" s="886">
        <f t="shared" si="12"/>
        <v>2.0219302180259149E-2</v>
      </c>
      <c r="C201" s="938" t="str">
        <f>IF(Innendurchmesser="","",Traktionsenergie!$D$26*(Parameter!$C$197+A201*BahnstrompreisZunahmeJahr))</f>
        <v/>
      </c>
      <c r="D201" s="938" t="e">
        <f t="shared" si="13"/>
        <v>#VALUE!</v>
      </c>
      <c r="E201" s="938">
        <f>IF(A201&lt;Parameter!$C$199*IF(Betriebsjahre&lt;&gt;"",Betriebsjahre,Betriebsjahre_Default),Traktionsenergie!$D$26*Parameter!$C$112*Parameter!$C$201/1000,Traktionsenergie!$D$26*Parameter!$C$113*Parameter!$C$201/1000)</f>
        <v>0</v>
      </c>
      <c r="F201" s="938">
        <f t="shared" si="14"/>
        <v>0</v>
      </c>
      <c r="G201" s="938" t="e">
        <f>SUM(D$5:D201)</f>
        <v>#VALUE!</v>
      </c>
      <c r="H201" s="938">
        <f>SUM(F$5:F201)</f>
        <v>0</v>
      </c>
    </row>
    <row r="202" spans="1:8" ht="14.1" customHeight="1">
      <c r="A202" s="885">
        <v>198</v>
      </c>
      <c r="B202" s="886">
        <f t="shared" si="12"/>
        <v>1.982284527476387E-2</v>
      </c>
      <c r="C202" s="938" t="str">
        <f>IF(Innendurchmesser="","",Traktionsenergie!$D$26*(Parameter!$C$197+A202*BahnstrompreisZunahmeJahr))</f>
        <v/>
      </c>
      <c r="D202" s="938" t="e">
        <f t="shared" si="13"/>
        <v>#VALUE!</v>
      </c>
      <c r="E202" s="938">
        <f>IF(A202&lt;Parameter!$C$199*IF(Betriebsjahre&lt;&gt;"",Betriebsjahre,Betriebsjahre_Default),Traktionsenergie!$D$26*Parameter!$C$112*Parameter!$C$201/1000,Traktionsenergie!$D$26*Parameter!$C$113*Parameter!$C$201/1000)</f>
        <v>0</v>
      </c>
      <c r="F202" s="938">
        <f t="shared" si="14"/>
        <v>0</v>
      </c>
      <c r="G202" s="938" t="e">
        <f>SUM(D$5:D202)</f>
        <v>#VALUE!</v>
      </c>
      <c r="H202" s="938">
        <f>SUM(F$5:F202)</f>
        <v>0</v>
      </c>
    </row>
    <row r="203" spans="1:8" ht="14.1" customHeight="1">
      <c r="A203" s="885">
        <v>199</v>
      </c>
      <c r="B203" s="886">
        <f t="shared" si="12"/>
        <v>1.9434162034082228E-2</v>
      </c>
      <c r="C203" s="938" t="str">
        <f>IF(Innendurchmesser="","",Traktionsenergie!$D$26*(Parameter!$C$197+A203*BahnstrompreisZunahmeJahr))</f>
        <v/>
      </c>
      <c r="D203" s="938" t="e">
        <f t="shared" si="13"/>
        <v>#VALUE!</v>
      </c>
      <c r="E203" s="938">
        <f>IF(A203&lt;Parameter!$C$199*IF(Betriebsjahre&lt;&gt;"",Betriebsjahre,Betriebsjahre_Default),Traktionsenergie!$D$26*Parameter!$C$112*Parameter!$C$201/1000,Traktionsenergie!$D$26*Parameter!$C$113*Parameter!$C$201/1000)</f>
        <v>0</v>
      </c>
      <c r="F203" s="938">
        <f t="shared" si="14"/>
        <v>0</v>
      </c>
      <c r="G203" s="938" t="e">
        <f>SUM(D$5:D203)</f>
        <v>#VALUE!</v>
      </c>
      <c r="H203" s="938">
        <f>SUM(F$5:F203)</f>
        <v>0</v>
      </c>
    </row>
    <row r="204" spans="1:8" ht="14.1" customHeight="1">
      <c r="A204" s="885">
        <v>200</v>
      </c>
      <c r="B204" s="886">
        <f t="shared" si="12"/>
        <v>1.9053100033413945E-2</v>
      </c>
      <c r="C204" s="938" t="str">
        <f>IF(Innendurchmesser="","",Traktionsenergie!$D$26*(Parameter!$C$197+A204*BahnstrompreisZunahmeJahr))</f>
        <v/>
      </c>
      <c r="D204" s="938" t="e">
        <f t="shared" si="13"/>
        <v>#VALUE!</v>
      </c>
      <c r="E204" s="938">
        <f>IF(A204&lt;Parameter!$C$199*IF(Betriebsjahre&lt;&gt;"",Betriebsjahre,Betriebsjahre_Default),Traktionsenergie!$D$26*Parameter!$C$112*Parameter!$C$201/1000,Traktionsenergie!$D$26*Parameter!$C$113*Parameter!$C$201/1000)</f>
        <v>0</v>
      </c>
      <c r="F204" s="938">
        <f t="shared" si="14"/>
        <v>0</v>
      </c>
      <c r="G204" s="938" t="e">
        <f>SUM(D$5:D204)</f>
        <v>#VALUE!</v>
      </c>
      <c r="H204" s="938">
        <f>SUM(F$5:F204)</f>
        <v>0</v>
      </c>
    </row>
    <row r="205" spans="1:8" ht="14.1" customHeight="1">
      <c r="B205" s="635"/>
      <c r="C205" s="636"/>
      <c r="D205" s="636"/>
      <c r="E205" s="636"/>
      <c r="F205" s="636"/>
      <c r="G205" s="636"/>
    </row>
  </sheetData>
  <sheetProtection algorithmName="SHA-512" hashValue="B2K/ItwCzfzkzuZ9N/G6z+oyal9zzl6WtFv6zeSoTXX5TCTWf0sMoxWF4gQLkgvbaD/V9Owj68mkTw+yu66XuA==" saltValue="p6SVw7mEeTELRodrDucRwg==" spinCount="100000" sheet="1" objects="1" scenarios="1"/>
  <mergeCells count="4">
    <mergeCell ref="A3:A4"/>
    <mergeCell ref="G3:H3"/>
    <mergeCell ref="B3:F3"/>
    <mergeCell ref="A1:G1"/>
  </mergeCells>
  <pageMargins left="0.7" right="0.7" top="0.78740157499999996" bottom="0.78740157499999996"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F615-FACE-4836-B370-673E4E33AA6E}">
  <dimension ref="A1:AG8"/>
  <sheetViews>
    <sheetView workbookViewId="0">
      <selection sqref="A1:C1"/>
    </sheetView>
  </sheetViews>
  <sheetFormatPr baseColWidth="10" defaultColWidth="11.42578125" defaultRowHeight="13.5" customHeight="1"/>
  <cols>
    <col min="1" max="1" width="13.42578125" style="6" bestFit="1" customWidth="1"/>
    <col min="2" max="2" width="14.42578125" style="6" bestFit="1" customWidth="1"/>
    <col min="3" max="3" width="10.42578125" style="6" bestFit="1" customWidth="1"/>
    <col min="4" max="4" width="14" style="6" bestFit="1" customWidth="1"/>
    <col min="5" max="5" width="9.28515625" style="6" bestFit="1" customWidth="1"/>
    <col min="6" max="6" width="9.85546875" style="6" bestFit="1" customWidth="1"/>
    <col min="7" max="8" width="9.28515625" style="6" bestFit="1" customWidth="1"/>
    <col min="9" max="9" width="16.5703125" style="6" bestFit="1" customWidth="1"/>
    <col min="10" max="10" width="13.140625" style="6" bestFit="1" customWidth="1"/>
    <col min="11" max="11" width="9.5703125" style="6" bestFit="1" customWidth="1"/>
    <col min="12" max="12" width="9.42578125" style="6" bestFit="1" customWidth="1"/>
    <col min="13" max="14" width="9.5703125" style="6" bestFit="1" customWidth="1"/>
    <col min="15" max="15" width="8.42578125" style="6" bestFit="1" customWidth="1"/>
    <col min="16" max="16" width="9.5703125" style="6" bestFit="1" customWidth="1"/>
    <col min="17" max="17" width="5" style="6" bestFit="1" customWidth="1"/>
    <col min="18" max="19" width="14.5703125" style="6" bestFit="1" customWidth="1"/>
    <col min="20" max="20" width="11" style="6" bestFit="1" customWidth="1"/>
    <col min="21" max="21" width="6.5703125" style="6" bestFit="1" customWidth="1"/>
    <col min="22" max="22" width="6" style="6" bestFit="1" customWidth="1"/>
    <col min="23" max="23" width="5.5703125" style="6" bestFit="1" customWidth="1"/>
    <col min="24" max="24" width="11.42578125" style="6" bestFit="1" customWidth="1"/>
    <col min="25" max="25" width="7.140625" style="6" bestFit="1" customWidth="1"/>
    <col min="26" max="26" width="9" style="6" bestFit="1" customWidth="1"/>
    <col min="27" max="27" width="5.42578125" style="6" bestFit="1" customWidth="1"/>
    <col min="28" max="28" width="6.28515625" style="6" bestFit="1" customWidth="1"/>
    <col min="29" max="29" width="23.85546875" style="6" bestFit="1" customWidth="1"/>
    <col min="30" max="30" width="17.42578125" style="6" bestFit="1" customWidth="1"/>
    <col min="31" max="31" width="12.28515625" style="6" bestFit="1" customWidth="1"/>
    <col min="32" max="32" width="4.7109375" style="6" bestFit="1" customWidth="1"/>
    <col min="33" max="33" width="12.5703125" style="6" bestFit="1" customWidth="1"/>
    <col min="34" max="16384" width="11.42578125" style="6"/>
  </cols>
  <sheetData>
    <row r="1" spans="1:33" ht="13.5" customHeight="1">
      <c r="A1" s="973" t="s">
        <v>205</v>
      </c>
      <c r="B1" s="973"/>
      <c r="C1" s="973"/>
    </row>
    <row r="2" spans="1:33" s="321" customFormat="1" ht="13.5" customHeight="1">
      <c r="A2" s="321" t="s">
        <v>19</v>
      </c>
      <c r="B2" s="321" t="s">
        <v>22</v>
      </c>
      <c r="C2" s="321" t="s">
        <v>206</v>
      </c>
      <c r="D2" s="321" t="s">
        <v>207</v>
      </c>
      <c r="E2" s="1029" t="s">
        <v>207</v>
      </c>
      <c r="F2" s="1029"/>
      <c r="G2" s="1029"/>
      <c r="H2" s="1029"/>
      <c r="I2" s="321" t="s">
        <v>55</v>
      </c>
      <c r="J2" s="321" t="s">
        <v>168</v>
      </c>
      <c r="K2" s="1029" t="s">
        <v>208</v>
      </c>
      <c r="L2" s="1029"/>
      <c r="M2" s="1029"/>
      <c r="N2" s="1029"/>
      <c r="O2" s="1029"/>
      <c r="P2" s="321" t="s">
        <v>50</v>
      </c>
      <c r="Q2" s="321" t="s">
        <v>51</v>
      </c>
      <c r="R2" s="321" t="s">
        <v>209</v>
      </c>
      <c r="S2" s="321" t="s">
        <v>209</v>
      </c>
      <c r="T2" s="321" t="s">
        <v>210</v>
      </c>
      <c r="U2" s="321" t="s">
        <v>47</v>
      </c>
      <c r="V2" s="321" t="s">
        <v>48</v>
      </c>
      <c r="W2" s="321" t="s">
        <v>49</v>
      </c>
      <c r="X2" s="321" t="s">
        <v>119</v>
      </c>
      <c r="Y2" s="321" t="s">
        <v>129</v>
      </c>
      <c r="Z2" s="321" t="s">
        <v>120</v>
      </c>
      <c r="AA2" s="321" t="s">
        <v>137</v>
      </c>
      <c r="AB2" s="321" t="s">
        <v>142</v>
      </c>
      <c r="AC2" s="321" t="s">
        <v>211</v>
      </c>
      <c r="AD2" s="321" t="s">
        <v>212</v>
      </c>
      <c r="AE2" s="321" t="s">
        <v>148</v>
      </c>
      <c r="AF2" s="321" t="s">
        <v>121</v>
      </c>
      <c r="AG2" s="321" t="s">
        <v>213</v>
      </c>
    </row>
    <row r="3" spans="1:33" ht="13.5" customHeight="1">
      <c r="A3" s="6" t="s">
        <v>214</v>
      </c>
      <c r="B3" s="6">
        <v>1</v>
      </c>
      <c r="C3" s="6">
        <v>1</v>
      </c>
      <c r="D3" s="6">
        <v>1</v>
      </c>
      <c r="E3" s="6" t="s">
        <v>215</v>
      </c>
      <c r="F3" s="6" t="s">
        <v>216</v>
      </c>
      <c r="G3" s="6" t="s">
        <v>217</v>
      </c>
      <c r="H3" s="6" t="s">
        <v>218</v>
      </c>
      <c r="I3" s="6" t="s">
        <v>219</v>
      </c>
      <c r="J3" s="6" t="s">
        <v>89</v>
      </c>
      <c r="K3" s="6" t="s">
        <v>219</v>
      </c>
      <c r="L3" s="6" t="s">
        <v>220</v>
      </c>
      <c r="M3" s="6" t="s">
        <v>221</v>
      </c>
      <c r="N3" s="6" t="s">
        <v>51</v>
      </c>
      <c r="O3" s="6" t="s">
        <v>56</v>
      </c>
      <c r="P3" s="6">
        <v>0</v>
      </c>
      <c r="Q3" s="6" t="s">
        <v>5</v>
      </c>
      <c r="R3" s="6" t="s">
        <v>222</v>
      </c>
      <c r="S3" s="6" t="s">
        <v>223</v>
      </c>
      <c r="T3" s="6" t="s">
        <v>224</v>
      </c>
      <c r="U3" s="6">
        <v>20</v>
      </c>
      <c r="V3" s="6">
        <v>5</v>
      </c>
      <c r="W3" s="6">
        <v>0</v>
      </c>
      <c r="X3" s="6" t="s">
        <v>129</v>
      </c>
      <c r="Y3" s="6">
        <v>202</v>
      </c>
      <c r="Z3" s="6">
        <v>200</v>
      </c>
      <c r="AA3" s="6">
        <v>100</v>
      </c>
      <c r="AB3" s="6">
        <v>75</v>
      </c>
      <c r="AC3" s="6" t="s">
        <v>151</v>
      </c>
      <c r="AD3" s="6" t="s">
        <v>225</v>
      </c>
      <c r="AE3" s="6">
        <v>300</v>
      </c>
      <c r="AF3" s="6">
        <v>250</v>
      </c>
      <c r="AG3" s="6" t="s">
        <v>226</v>
      </c>
    </row>
    <row r="4" spans="1:33" ht="13.5" customHeight="1">
      <c r="A4" s="6" t="s">
        <v>20</v>
      </c>
      <c r="B4" s="6">
        <v>2</v>
      </c>
      <c r="C4" s="6">
        <v>2</v>
      </c>
      <c r="D4" s="6">
        <v>2</v>
      </c>
      <c r="E4" s="6">
        <v>1</v>
      </c>
      <c r="F4" s="6">
        <v>1</v>
      </c>
      <c r="G4" s="6">
        <v>1</v>
      </c>
      <c r="H4" s="6">
        <v>1</v>
      </c>
      <c r="I4" s="6" t="s">
        <v>220</v>
      </c>
      <c r="J4" s="6" t="s">
        <v>227</v>
      </c>
      <c r="K4" s="6" t="s">
        <v>47</v>
      </c>
      <c r="L4" s="6" t="s">
        <v>47</v>
      </c>
      <c r="M4" s="6" t="s">
        <v>47</v>
      </c>
      <c r="N4" s="6" t="s">
        <v>51</v>
      </c>
      <c r="O4" s="6" t="s">
        <v>50</v>
      </c>
      <c r="P4" s="6">
        <v>0</v>
      </c>
      <c r="Q4" s="6" t="s">
        <v>5</v>
      </c>
      <c r="R4" s="6" t="s">
        <v>228</v>
      </c>
      <c r="S4" s="6" t="s">
        <v>229</v>
      </c>
      <c r="T4" s="6" t="s">
        <v>230</v>
      </c>
      <c r="U4" s="6">
        <v>60</v>
      </c>
      <c r="V4" s="6">
        <v>20</v>
      </c>
      <c r="W4" s="6">
        <v>5</v>
      </c>
      <c r="X4" s="6" t="s">
        <v>120</v>
      </c>
      <c r="Y4" s="6">
        <v>404</v>
      </c>
      <c r="Z4" s="6">
        <v>400</v>
      </c>
      <c r="AA4" s="6">
        <v>150</v>
      </c>
      <c r="AB4" s="6">
        <v>105</v>
      </c>
      <c r="AC4" s="6" t="s">
        <v>152</v>
      </c>
      <c r="AD4" s="6" t="s">
        <v>127</v>
      </c>
      <c r="AE4" s="6">
        <v>600</v>
      </c>
      <c r="AG4" s="6" t="s">
        <v>231</v>
      </c>
    </row>
    <row r="5" spans="1:33" ht="13.5" customHeight="1">
      <c r="C5" s="6">
        <v>3</v>
      </c>
      <c r="D5" s="6">
        <v>3</v>
      </c>
      <c r="F5" s="6">
        <v>2</v>
      </c>
      <c r="G5" s="6">
        <v>2</v>
      </c>
      <c r="H5" s="6">
        <v>2</v>
      </c>
      <c r="I5" s="6" t="s">
        <v>221</v>
      </c>
      <c r="K5" s="6" t="s">
        <v>48</v>
      </c>
      <c r="L5" s="6" t="s">
        <v>48</v>
      </c>
      <c r="M5" s="6" t="s">
        <v>48</v>
      </c>
      <c r="P5" s="6">
        <v>0</v>
      </c>
      <c r="Q5" s="6" t="s">
        <v>5</v>
      </c>
      <c r="R5" s="6" t="s">
        <v>232</v>
      </c>
      <c r="S5" s="6" t="s">
        <v>232</v>
      </c>
      <c r="T5" s="6" t="s">
        <v>59</v>
      </c>
      <c r="U5" s="6">
        <v>15</v>
      </c>
      <c r="V5" s="6">
        <v>50</v>
      </c>
      <c r="W5" s="6">
        <v>15</v>
      </c>
      <c r="X5" s="6" t="s">
        <v>137</v>
      </c>
      <c r="AA5" s="6">
        <v>200</v>
      </c>
      <c r="AB5" s="6">
        <v>150</v>
      </c>
      <c r="AG5" s="6" t="s">
        <v>233</v>
      </c>
    </row>
    <row r="6" spans="1:33" ht="13.5" customHeight="1">
      <c r="C6" s="6">
        <v>4</v>
      </c>
      <c r="D6" s="6">
        <v>4</v>
      </c>
      <c r="G6" s="6">
        <v>3</v>
      </c>
      <c r="H6" s="6">
        <v>3</v>
      </c>
      <c r="I6" s="6" t="s">
        <v>51</v>
      </c>
      <c r="K6" s="6" t="s">
        <v>49</v>
      </c>
      <c r="L6" s="6" t="s">
        <v>49</v>
      </c>
      <c r="M6" s="6" t="s">
        <v>49</v>
      </c>
      <c r="P6" s="6">
        <v>0</v>
      </c>
      <c r="Q6" s="6" t="s">
        <v>5</v>
      </c>
      <c r="S6" s="6" t="s">
        <v>234</v>
      </c>
      <c r="U6" s="6">
        <v>5</v>
      </c>
      <c r="V6" s="6">
        <v>20</v>
      </c>
      <c r="W6" s="6">
        <v>60</v>
      </c>
      <c r="X6" s="6" t="s">
        <v>142</v>
      </c>
      <c r="AA6" s="6">
        <v>300</v>
      </c>
      <c r="AB6" s="6">
        <v>210</v>
      </c>
    </row>
    <row r="7" spans="1:33" ht="13.5" customHeight="1">
      <c r="C7" s="6">
        <v>5</v>
      </c>
      <c r="H7" s="6">
        <v>4</v>
      </c>
      <c r="I7" s="6" t="s">
        <v>56</v>
      </c>
      <c r="P7" s="6">
        <v>0</v>
      </c>
      <c r="Q7" s="6" t="s">
        <v>5</v>
      </c>
      <c r="U7" s="6">
        <v>0</v>
      </c>
      <c r="V7" s="6">
        <v>5</v>
      </c>
      <c r="W7" s="6">
        <v>20</v>
      </c>
      <c r="X7" s="6" t="s">
        <v>148</v>
      </c>
      <c r="AB7" s="6">
        <v>225</v>
      </c>
    </row>
    <row r="8" spans="1:33" ht="13.5" customHeight="1">
      <c r="C8" s="6">
        <v>6</v>
      </c>
      <c r="D8" s="362" t="str">
        <f>IF(Tunneldaten!E9=1,"Eins",IF(Tunneldaten!E9=2,"Zwei",IF(Tunneldaten!E9=3,"Drei",IF(Tunneldaten!E9=4,"Vier",""))))</f>
        <v/>
      </c>
      <c r="P8" s="6">
        <v>100</v>
      </c>
      <c r="Q8" s="6" t="s">
        <v>5</v>
      </c>
      <c r="U8" s="6">
        <v>0</v>
      </c>
      <c r="V8" s="6">
        <v>0</v>
      </c>
      <c r="W8" s="6">
        <v>0</v>
      </c>
      <c r="X8" s="6" t="s">
        <v>121</v>
      </c>
    </row>
  </sheetData>
  <sheetProtection algorithmName="SHA-512" hashValue="YoZrdsHRAlJSbEKLaKlQaysSxoEb6uivki561Bxqu7iYAa2YlzbRq0GVngxcvV8MA25ZUJR9ENP7C6/QwSx20g==" saltValue="baojXdiXu8sNQn7KeY0xkw==" spinCount="100000" sheet="1" objects="1" scenarios="1"/>
  <mergeCells count="3">
    <mergeCell ref="E2:H2"/>
    <mergeCell ref="K2:O2"/>
    <mergeCell ref="A1:C1"/>
  </mergeCells>
  <pageMargins left="0.7" right="0.7" top="0.78740157499999996" bottom="0.78740157499999996" header="0.3" footer="0.3"/>
  <pageSetup paperSize="9" orientation="portrait" horizontalDpi="300" verticalDpi="0" r:id="rId1"/>
  <drawing r:id="rId2"/>
  <tableParts count="9">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9E816-FDAA-4040-8272-944225E7E1D6}">
  <dimension ref="A1:R202"/>
  <sheetViews>
    <sheetView workbookViewId="0">
      <selection sqref="A1:C1"/>
    </sheetView>
  </sheetViews>
  <sheetFormatPr baseColWidth="10" defaultColWidth="11.42578125" defaultRowHeight="14.25" customHeight="1"/>
  <cols>
    <col min="1" max="1" width="63.5703125" style="5" customWidth="1"/>
    <col min="2" max="2" width="12.85546875" style="6" customWidth="1"/>
    <col min="3" max="3" width="22.5703125" style="5" customWidth="1"/>
    <col min="4" max="4" width="11.5703125" style="5" customWidth="1"/>
    <col min="5" max="5" width="13.28515625" style="5" customWidth="1"/>
    <col min="6" max="6" width="14.7109375" style="5" customWidth="1"/>
    <col min="7" max="7" width="24.7109375" style="5" customWidth="1"/>
    <col min="8" max="8" width="20.7109375" style="5" customWidth="1"/>
    <col min="9" max="9" width="17.5703125" style="5" customWidth="1"/>
    <col min="10" max="10" width="19.7109375" style="5" bestFit="1" customWidth="1"/>
    <col min="11" max="11" width="16.140625" style="5" customWidth="1"/>
    <col min="12" max="15" width="11.42578125" style="5"/>
    <col min="16" max="16" width="23.85546875" style="5" bestFit="1" customWidth="1"/>
    <col min="17" max="16384" width="11.42578125" style="5"/>
  </cols>
  <sheetData>
    <row r="1" spans="1:16" ht="14.25" customHeight="1">
      <c r="A1" s="1025" t="s">
        <v>235</v>
      </c>
      <c r="B1" s="1025"/>
      <c r="C1" s="1025"/>
    </row>
    <row r="3" spans="1:16" ht="14.25" customHeight="1">
      <c r="A3" s="865" t="s">
        <v>236</v>
      </c>
      <c r="B3" s="32"/>
      <c r="C3" s="24"/>
    </row>
    <row r="4" spans="1:16" ht="14.25" customHeight="1">
      <c r="A4" s="508" t="s">
        <v>237</v>
      </c>
      <c r="B4" s="504" t="s">
        <v>27</v>
      </c>
      <c r="C4" s="925">
        <v>100</v>
      </c>
    </row>
    <row r="5" spans="1:16" ht="14.25" customHeight="1">
      <c r="A5" s="508" t="s">
        <v>45</v>
      </c>
      <c r="B5" s="504" t="s">
        <v>5</v>
      </c>
      <c r="C5" s="504" t="s">
        <v>238</v>
      </c>
    </row>
    <row r="6" spans="1:16" ht="14.25" customHeight="1">
      <c r="A6" s="507" t="s">
        <v>83</v>
      </c>
      <c r="B6" s="500" t="s">
        <v>239</v>
      </c>
      <c r="C6" s="926">
        <v>85</v>
      </c>
    </row>
    <row r="7" spans="1:16" ht="14.25" customHeight="1">
      <c r="A7" s="862" t="s">
        <v>240</v>
      </c>
      <c r="B7" s="864"/>
      <c r="C7" s="862"/>
      <c r="P7" s="75"/>
    </row>
    <row r="8" spans="1:16" ht="14.25" customHeight="1">
      <c r="A8" s="506" t="s">
        <v>241</v>
      </c>
      <c r="B8" s="498" t="s">
        <v>91</v>
      </c>
      <c r="C8" s="924">
        <v>25</v>
      </c>
      <c r="P8" s="75"/>
    </row>
    <row r="9" spans="1:16" ht="14.25" customHeight="1">
      <c r="A9" s="508" t="s">
        <v>242</v>
      </c>
      <c r="B9" s="504" t="s">
        <v>5</v>
      </c>
      <c r="C9" s="504" t="s">
        <v>228</v>
      </c>
      <c r="P9" s="75"/>
    </row>
    <row r="10" spans="1:16" ht="14.25" customHeight="1">
      <c r="A10" s="508" t="s">
        <v>243</v>
      </c>
      <c r="B10" s="504" t="s">
        <v>91</v>
      </c>
      <c r="C10" s="925">
        <v>300</v>
      </c>
      <c r="P10" s="75"/>
    </row>
    <row r="11" spans="1:16" ht="14.25" customHeight="1">
      <c r="A11" s="508" t="s">
        <v>244</v>
      </c>
      <c r="B11" s="504" t="s">
        <v>5</v>
      </c>
      <c r="C11" s="504" t="s">
        <v>228</v>
      </c>
      <c r="P11" s="75"/>
    </row>
    <row r="12" spans="1:16" ht="14.25" customHeight="1">
      <c r="A12" s="508" t="s">
        <v>245</v>
      </c>
      <c r="B12" s="504" t="s">
        <v>91</v>
      </c>
      <c r="C12" s="925">
        <v>50</v>
      </c>
      <c r="P12" s="75"/>
    </row>
    <row r="13" spans="1:16" ht="14.25" customHeight="1">
      <c r="A13" s="508" t="s">
        <v>246</v>
      </c>
      <c r="B13" s="504" t="s">
        <v>5</v>
      </c>
      <c r="C13" s="504" t="s">
        <v>228</v>
      </c>
      <c r="P13" s="75"/>
    </row>
    <row r="14" spans="1:16" ht="14.25" customHeight="1">
      <c r="A14" s="508" t="s">
        <v>247</v>
      </c>
      <c r="B14" s="504" t="s">
        <v>91</v>
      </c>
      <c r="C14" s="925">
        <v>40</v>
      </c>
      <c r="P14" s="75"/>
    </row>
    <row r="15" spans="1:16" ht="14.25" customHeight="1">
      <c r="A15" s="508" t="s">
        <v>248</v>
      </c>
      <c r="B15" s="504" t="s">
        <v>5</v>
      </c>
      <c r="C15" s="504" t="s">
        <v>228</v>
      </c>
    </row>
    <row r="16" spans="1:16" ht="14.25" customHeight="1">
      <c r="A16" s="508" t="s">
        <v>249</v>
      </c>
      <c r="B16" s="504" t="s">
        <v>91</v>
      </c>
      <c r="C16" s="925">
        <v>50</v>
      </c>
    </row>
    <row r="17" spans="1:16" ht="14.25" customHeight="1">
      <c r="A17" s="507" t="s">
        <v>250</v>
      </c>
      <c r="B17" s="500" t="s">
        <v>5</v>
      </c>
      <c r="C17" s="500" t="s">
        <v>228</v>
      </c>
      <c r="P17" s="9"/>
    </row>
    <row r="18" spans="1:16" ht="14.25" customHeight="1">
      <c r="A18" s="863" t="s">
        <v>101</v>
      </c>
      <c r="B18" s="864"/>
      <c r="C18" s="862"/>
      <c r="P18" s="9"/>
    </row>
    <row r="19" spans="1:16" ht="14.25" customHeight="1">
      <c r="A19" s="506" t="s">
        <v>251</v>
      </c>
      <c r="B19" s="498" t="s">
        <v>5</v>
      </c>
      <c r="C19" s="498" t="s">
        <v>229</v>
      </c>
      <c r="P19" s="9"/>
    </row>
    <row r="20" spans="1:16" ht="14.25" customHeight="1">
      <c r="A20" s="507" t="s">
        <v>252</v>
      </c>
      <c r="B20" s="500" t="s">
        <v>5</v>
      </c>
      <c r="C20" s="500" t="s">
        <v>229</v>
      </c>
      <c r="P20" s="9"/>
    </row>
    <row r="21" spans="1:16" ht="14.25" customHeight="1">
      <c r="A21" s="862" t="s">
        <v>253</v>
      </c>
      <c r="B21" s="864"/>
      <c r="C21" s="864"/>
      <c r="P21" s="9"/>
    </row>
    <row r="22" spans="1:16" ht="14.25" customHeight="1">
      <c r="A22" s="506" t="s">
        <v>254</v>
      </c>
      <c r="B22" s="498" t="s">
        <v>91</v>
      </c>
      <c r="C22" s="924">
        <v>50</v>
      </c>
      <c r="P22" s="9"/>
    </row>
    <row r="23" spans="1:16" ht="14.25" customHeight="1">
      <c r="A23" s="508" t="s">
        <v>255</v>
      </c>
      <c r="B23" s="504" t="s">
        <v>5</v>
      </c>
      <c r="C23" s="504" t="s">
        <v>228</v>
      </c>
      <c r="P23" s="9"/>
    </row>
    <row r="24" spans="1:16" ht="14.25" customHeight="1">
      <c r="A24" s="508" t="s">
        <v>256</v>
      </c>
      <c r="B24" s="504" t="s">
        <v>91</v>
      </c>
      <c r="C24" s="925">
        <v>20</v>
      </c>
      <c r="P24" s="9"/>
    </row>
    <row r="25" spans="1:16" ht="14.25" customHeight="1">
      <c r="A25" s="508" t="s">
        <v>257</v>
      </c>
      <c r="B25" s="504" t="s">
        <v>5</v>
      </c>
      <c r="C25" s="504" t="s">
        <v>228</v>
      </c>
      <c r="P25" s="26"/>
    </row>
    <row r="26" spans="1:16" ht="14.25" customHeight="1">
      <c r="A26" s="508" t="s">
        <v>258</v>
      </c>
      <c r="B26" s="504" t="s">
        <v>91</v>
      </c>
      <c r="C26" s="925">
        <v>40</v>
      </c>
      <c r="P26" s="26"/>
    </row>
    <row r="27" spans="1:16" ht="14.25" customHeight="1">
      <c r="A27" s="507" t="s">
        <v>259</v>
      </c>
      <c r="B27" s="500" t="s">
        <v>5</v>
      </c>
      <c r="C27" s="500" t="s">
        <v>228</v>
      </c>
      <c r="P27" s="26"/>
    </row>
    <row r="29" spans="1:16" ht="14.25" customHeight="1">
      <c r="A29" s="865" t="s">
        <v>260</v>
      </c>
      <c r="B29" s="32"/>
      <c r="C29" s="24"/>
    </row>
    <row r="30" spans="1:16" ht="14.25" customHeight="1">
      <c r="A30" s="215" t="s">
        <v>261</v>
      </c>
      <c r="B30" s="362"/>
      <c r="C30" s="215"/>
    </row>
    <row r="31" spans="1:16" ht="14.25" customHeight="1">
      <c r="A31" s="506" t="s">
        <v>262</v>
      </c>
      <c r="B31" s="498" t="s">
        <v>263</v>
      </c>
      <c r="C31" s="499">
        <v>2.5</v>
      </c>
    </row>
    <row r="32" spans="1:16" ht="14.25" customHeight="1">
      <c r="A32" s="508" t="s">
        <v>264</v>
      </c>
      <c r="B32" s="504" t="s">
        <v>263</v>
      </c>
      <c r="C32" s="505">
        <v>2.4</v>
      </c>
    </row>
    <row r="33" spans="1:5" ht="14.25" customHeight="1">
      <c r="A33" s="508" t="s">
        <v>265</v>
      </c>
      <c r="B33" s="504" t="s">
        <v>263</v>
      </c>
      <c r="C33" s="505">
        <v>1.6</v>
      </c>
    </row>
    <row r="34" spans="1:5" ht="14.25" customHeight="1">
      <c r="A34" s="508" t="s">
        <v>266</v>
      </c>
      <c r="B34" s="504" t="s">
        <v>267</v>
      </c>
      <c r="C34" s="937">
        <f>2.1/1000</f>
        <v>2.1000000000000003E-3</v>
      </c>
      <c r="E34" s="5" t="s">
        <v>268</v>
      </c>
    </row>
    <row r="35" spans="1:5" ht="14.25" customHeight="1">
      <c r="A35" s="508" t="s">
        <v>269</v>
      </c>
      <c r="B35" s="504" t="s">
        <v>263</v>
      </c>
      <c r="C35" s="505">
        <v>2.7</v>
      </c>
    </row>
    <row r="36" spans="1:5" ht="14.25" customHeight="1">
      <c r="A36" s="508" t="s">
        <v>270</v>
      </c>
      <c r="B36" s="504" t="s">
        <v>271</v>
      </c>
      <c r="C36" s="937">
        <f>4*3.85/1000</f>
        <v>1.54E-2</v>
      </c>
      <c r="E36" s="5" t="s">
        <v>272</v>
      </c>
    </row>
    <row r="37" spans="1:5" ht="14.25" customHeight="1">
      <c r="A37" s="508" t="s">
        <v>273</v>
      </c>
      <c r="B37" s="504" t="s">
        <v>271</v>
      </c>
      <c r="C37" s="937">
        <f>6*3.85/1000</f>
        <v>2.3100000000000002E-2</v>
      </c>
      <c r="E37" s="5" t="s">
        <v>274</v>
      </c>
    </row>
    <row r="38" spans="1:5" ht="14.25" customHeight="1">
      <c r="A38" s="508" t="s">
        <v>275</v>
      </c>
      <c r="B38" s="504" t="s">
        <v>271</v>
      </c>
      <c r="C38" s="937">
        <f>8*3.85/1000</f>
        <v>3.0800000000000001E-2</v>
      </c>
      <c r="E38" s="5" t="s">
        <v>276</v>
      </c>
    </row>
    <row r="39" spans="1:5" ht="14.25" customHeight="1">
      <c r="A39" s="508" t="s">
        <v>277</v>
      </c>
      <c r="B39" s="504" t="s">
        <v>267</v>
      </c>
      <c r="C39" s="937">
        <f>3.02/1000</f>
        <v>3.0200000000000001E-3</v>
      </c>
    </row>
    <row r="40" spans="1:5" ht="14.25" customHeight="1">
      <c r="A40" s="508" t="s">
        <v>278</v>
      </c>
      <c r="B40" s="504" t="s">
        <v>267</v>
      </c>
      <c r="C40" s="937">
        <f>5.37/1000</f>
        <v>5.3699999999999998E-3</v>
      </c>
    </row>
    <row r="41" spans="1:5" ht="14.25" customHeight="1">
      <c r="A41" s="508" t="s">
        <v>279</v>
      </c>
      <c r="B41" s="504" t="s">
        <v>263</v>
      </c>
      <c r="C41" s="505">
        <v>0.35</v>
      </c>
    </row>
    <row r="42" spans="1:5" ht="14.25" customHeight="1">
      <c r="A42" s="508" t="s">
        <v>280</v>
      </c>
      <c r="B42" s="504" t="s">
        <v>263</v>
      </c>
      <c r="C42" s="505">
        <v>2</v>
      </c>
    </row>
    <row r="43" spans="1:5" ht="14.25" customHeight="1">
      <c r="A43" s="508" t="s">
        <v>227</v>
      </c>
      <c r="B43" s="504" t="s">
        <v>54</v>
      </c>
      <c r="C43" s="925">
        <v>65</v>
      </c>
      <c r="E43" s="5" t="s">
        <v>281</v>
      </c>
    </row>
    <row r="44" spans="1:5" ht="14.25" customHeight="1">
      <c r="A44" s="508" t="s">
        <v>282</v>
      </c>
      <c r="B44" s="504" t="s">
        <v>54</v>
      </c>
      <c r="C44" s="925">
        <v>65</v>
      </c>
    </row>
    <row r="45" spans="1:5" ht="14.25" customHeight="1">
      <c r="A45" s="507" t="s">
        <v>283</v>
      </c>
      <c r="B45" s="500" t="s">
        <v>239</v>
      </c>
      <c r="C45" s="926">
        <v>80</v>
      </c>
    </row>
    <row r="46" spans="1:5" ht="14.25" customHeight="1">
      <c r="A46" s="215" t="s">
        <v>56</v>
      </c>
      <c r="B46" s="362"/>
      <c r="C46" s="215"/>
    </row>
    <row r="47" spans="1:5" ht="14.1" customHeight="1">
      <c r="A47" s="506" t="s">
        <v>284</v>
      </c>
      <c r="B47" s="498" t="s">
        <v>285</v>
      </c>
      <c r="C47" s="924">
        <v>120</v>
      </c>
    </row>
    <row r="48" spans="1:5" ht="14.1" customHeight="1">
      <c r="A48" s="507" t="s">
        <v>286</v>
      </c>
      <c r="B48" s="500" t="s">
        <v>285</v>
      </c>
      <c r="C48" s="926">
        <v>360</v>
      </c>
    </row>
    <row r="49" spans="1:16" ht="14.25" customHeight="1">
      <c r="A49" s="215" t="s">
        <v>51</v>
      </c>
      <c r="B49" s="362"/>
      <c r="C49" s="215"/>
    </row>
    <row r="50" spans="1:16" ht="14.25" customHeight="1">
      <c r="A50" s="506" t="s">
        <v>287</v>
      </c>
      <c r="B50" s="498" t="s">
        <v>239</v>
      </c>
      <c r="C50" s="499">
        <v>100</v>
      </c>
      <c r="P50" s="75"/>
    </row>
    <row r="51" spans="1:16" ht="14.25" customHeight="1">
      <c r="A51" s="507" t="s">
        <v>288</v>
      </c>
      <c r="B51" s="500" t="s">
        <v>289</v>
      </c>
      <c r="C51" s="930">
        <f>1/1.5*25.28/1000*0.65</f>
        <v>1.0954666666666666E-2</v>
      </c>
      <c r="E51" s="5" t="s">
        <v>290</v>
      </c>
      <c r="P51" s="75"/>
    </row>
    <row r="52" spans="1:16" ht="14.25" customHeight="1">
      <c r="A52" s="215" t="s">
        <v>221</v>
      </c>
      <c r="B52" s="362"/>
      <c r="C52" s="215"/>
      <c r="P52" s="75"/>
    </row>
    <row r="53" spans="1:16" ht="14.25" customHeight="1">
      <c r="A53" s="506" t="s">
        <v>291</v>
      </c>
      <c r="B53" s="498" t="s">
        <v>292</v>
      </c>
      <c r="C53" s="499">
        <v>0.7</v>
      </c>
      <c r="E53" s="5" t="s">
        <v>293</v>
      </c>
      <c r="P53" s="75"/>
    </row>
    <row r="54" spans="1:16" ht="14.25" customHeight="1">
      <c r="A54" s="508" t="s">
        <v>294</v>
      </c>
      <c r="B54" s="504" t="s">
        <v>292</v>
      </c>
      <c r="C54" s="505">
        <f>0.7*2</f>
        <v>1.4</v>
      </c>
      <c r="E54" s="5" t="s">
        <v>295</v>
      </c>
      <c r="P54" s="75"/>
    </row>
    <row r="55" spans="1:16" ht="14.25" customHeight="1">
      <c r="A55" s="508" t="s">
        <v>296</v>
      </c>
      <c r="B55" s="504" t="s">
        <v>292</v>
      </c>
      <c r="C55" s="505">
        <f>0.8*2</f>
        <v>1.6</v>
      </c>
      <c r="E55" s="5" t="s">
        <v>297</v>
      </c>
      <c r="P55" s="75"/>
    </row>
    <row r="56" spans="1:16" ht="14.25" customHeight="1">
      <c r="A56" s="508" t="s">
        <v>298</v>
      </c>
      <c r="B56" s="504" t="s">
        <v>292</v>
      </c>
      <c r="C56" s="505">
        <v>2</v>
      </c>
      <c r="E56" s="5" t="s">
        <v>299</v>
      </c>
      <c r="P56" s="75"/>
    </row>
    <row r="57" spans="1:16" ht="14.25" customHeight="1">
      <c r="A57" s="507" t="s">
        <v>300</v>
      </c>
      <c r="B57" s="500" t="s">
        <v>292</v>
      </c>
      <c r="C57" s="501">
        <v>2</v>
      </c>
      <c r="E57" s="5" t="s">
        <v>299</v>
      </c>
      <c r="P57" s="75"/>
    </row>
    <row r="58" spans="1:16" ht="14.25" customHeight="1">
      <c r="A58" s="5" t="s">
        <v>301</v>
      </c>
      <c r="B58" s="6" t="s">
        <v>289</v>
      </c>
      <c r="C58" s="489">
        <f>1/2*25.28/1000*0.65</f>
        <v>8.2160000000000011E-3</v>
      </c>
      <c r="E58" s="5" t="s">
        <v>302</v>
      </c>
      <c r="P58" s="75"/>
    </row>
    <row r="59" spans="1:16" ht="14.25" customHeight="1">
      <c r="A59" s="507" t="s">
        <v>303</v>
      </c>
      <c r="B59" s="500" t="s">
        <v>289</v>
      </c>
      <c r="C59" s="930">
        <f>1/1.5*25.28/1000*0.65</f>
        <v>1.0954666666666666E-2</v>
      </c>
      <c r="E59" s="5" t="s">
        <v>304</v>
      </c>
      <c r="P59" s="75"/>
    </row>
    <row r="60" spans="1:16" ht="14.25" customHeight="1">
      <c r="A60" s="215" t="s">
        <v>219</v>
      </c>
      <c r="B60" s="362"/>
      <c r="C60" s="215"/>
      <c r="P60" s="75"/>
    </row>
    <row r="61" spans="1:16" ht="14.25" customHeight="1">
      <c r="A61" s="506" t="s">
        <v>305</v>
      </c>
      <c r="B61" s="498" t="s">
        <v>306</v>
      </c>
      <c r="C61" s="927">
        <f>1/2/4/2</f>
        <v>6.25E-2</v>
      </c>
      <c r="E61" s="5" t="s">
        <v>307</v>
      </c>
      <c r="P61" s="75"/>
    </row>
    <row r="62" spans="1:16" ht="14.25" customHeight="1">
      <c r="A62" s="508" t="s">
        <v>308</v>
      </c>
      <c r="B62" s="504" t="s">
        <v>306</v>
      </c>
      <c r="C62" s="928">
        <f>1/2/4/1.5</f>
        <v>8.3333333333333329E-2</v>
      </c>
      <c r="E62" s="5" t="s">
        <v>309</v>
      </c>
      <c r="P62" s="75"/>
    </row>
    <row r="63" spans="1:16" ht="14.25" customHeight="1">
      <c r="A63" s="508" t="s">
        <v>310</v>
      </c>
      <c r="B63" s="504" t="s">
        <v>306</v>
      </c>
      <c r="C63" s="928">
        <f>1/2/4/1.2</f>
        <v>0.10416666666666667</v>
      </c>
      <c r="E63" s="5" t="s">
        <v>311</v>
      </c>
      <c r="P63" s="75"/>
    </row>
    <row r="64" spans="1:16" ht="14.25" customHeight="1">
      <c r="A64" s="507" t="s">
        <v>312</v>
      </c>
      <c r="B64" s="500" t="s">
        <v>306</v>
      </c>
      <c r="C64" s="929">
        <f>1/2/4/1</f>
        <v>0.125</v>
      </c>
      <c r="E64" s="5" t="s">
        <v>313</v>
      </c>
      <c r="P64" s="75"/>
    </row>
    <row r="65" spans="1:16" ht="14.25" customHeight="1">
      <c r="A65" s="506" t="s">
        <v>291</v>
      </c>
      <c r="B65" s="498" t="s">
        <v>292</v>
      </c>
      <c r="C65" s="499">
        <v>0.7</v>
      </c>
      <c r="E65" s="5" t="s">
        <v>293</v>
      </c>
      <c r="P65" s="75"/>
    </row>
    <row r="66" spans="1:16" ht="14.25" customHeight="1">
      <c r="A66" s="508" t="s">
        <v>294</v>
      </c>
      <c r="B66" s="504" t="s">
        <v>292</v>
      </c>
      <c r="C66" s="505">
        <f>0.7*2</f>
        <v>1.4</v>
      </c>
      <c r="E66" s="5" t="s">
        <v>295</v>
      </c>
      <c r="P66" s="75"/>
    </row>
    <row r="67" spans="1:16" ht="14.25" customHeight="1">
      <c r="A67" s="508" t="s">
        <v>296</v>
      </c>
      <c r="B67" s="504" t="s">
        <v>292</v>
      </c>
      <c r="C67" s="505">
        <f>0.8*2</f>
        <v>1.6</v>
      </c>
      <c r="E67" s="5" t="s">
        <v>297</v>
      </c>
      <c r="P67" s="75"/>
    </row>
    <row r="68" spans="1:16" ht="14.25" customHeight="1">
      <c r="A68" s="508" t="s">
        <v>298</v>
      </c>
      <c r="B68" s="504" t="s">
        <v>292</v>
      </c>
      <c r="C68" s="505">
        <v>2</v>
      </c>
      <c r="E68" s="5" t="s">
        <v>299</v>
      </c>
      <c r="P68" s="75"/>
    </row>
    <row r="69" spans="1:16" ht="14.25" customHeight="1">
      <c r="A69" s="507" t="s">
        <v>300</v>
      </c>
      <c r="B69" s="500" t="s">
        <v>292</v>
      </c>
      <c r="C69" s="501">
        <v>2</v>
      </c>
      <c r="E69" s="5" t="s">
        <v>299</v>
      </c>
      <c r="P69" s="75"/>
    </row>
    <row r="70" spans="1:16" ht="14.25" customHeight="1">
      <c r="A70" s="5" t="s">
        <v>301</v>
      </c>
      <c r="B70" s="6" t="s">
        <v>289</v>
      </c>
      <c r="C70" s="489">
        <f>1/1.5*25.28/1000*0.65</f>
        <v>1.0954666666666666E-2</v>
      </c>
      <c r="E70" s="5" t="s">
        <v>314</v>
      </c>
      <c r="P70" s="75"/>
    </row>
    <row r="71" spans="1:16" ht="14.25" customHeight="1">
      <c r="A71" s="507" t="s">
        <v>303</v>
      </c>
      <c r="B71" s="500" t="s">
        <v>289</v>
      </c>
      <c r="C71" s="930">
        <f>42.6/1000*0.85</f>
        <v>3.6209999999999999E-2</v>
      </c>
      <c r="E71" s="5" t="s">
        <v>315</v>
      </c>
      <c r="P71" s="75"/>
    </row>
    <row r="72" spans="1:16" ht="14.25" customHeight="1">
      <c r="A72" s="215" t="s">
        <v>220</v>
      </c>
      <c r="B72" s="362"/>
      <c r="C72" s="215"/>
      <c r="P72" s="75"/>
    </row>
    <row r="73" spans="1:16" ht="14.25" customHeight="1">
      <c r="A73" s="506" t="s">
        <v>305</v>
      </c>
      <c r="B73" s="498" t="s">
        <v>306</v>
      </c>
      <c r="C73" s="927">
        <f>1/2/4/2</f>
        <v>6.25E-2</v>
      </c>
      <c r="E73" s="5" t="s">
        <v>307</v>
      </c>
      <c r="P73" s="75"/>
    </row>
    <row r="74" spans="1:16" ht="14.25" customHeight="1">
      <c r="A74" s="508" t="s">
        <v>308</v>
      </c>
      <c r="B74" s="504" t="s">
        <v>306</v>
      </c>
      <c r="C74" s="928">
        <f>1/2/4/1.5</f>
        <v>8.3333333333333329E-2</v>
      </c>
      <c r="E74" s="5" t="s">
        <v>309</v>
      </c>
      <c r="P74" s="75"/>
    </row>
    <row r="75" spans="1:16" ht="14.25" customHeight="1">
      <c r="A75" s="508" t="s">
        <v>310</v>
      </c>
      <c r="B75" s="504" t="s">
        <v>306</v>
      </c>
      <c r="C75" s="928">
        <f>1/2/4/1.2</f>
        <v>0.10416666666666667</v>
      </c>
      <c r="E75" s="5" t="s">
        <v>311</v>
      </c>
      <c r="P75" s="75"/>
    </row>
    <row r="76" spans="1:16" ht="14.25" customHeight="1">
      <c r="A76" s="507" t="s">
        <v>312</v>
      </c>
      <c r="B76" s="500" t="s">
        <v>306</v>
      </c>
      <c r="C76" s="929">
        <f>1/2/4/1</f>
        <v>0.125</v>
      </c>
      <c r="E76" s="5" t="s">
        <v>313</v>
      </c>
      <c r="P76" s="75"/>
    </row>
    <row r="77" spans="1:16" ht="14.25" customHeight="1">
      <c r="A77" s="506" t="s">
        <v>291</v>
      </c>
      <c r="B77" s="498" t="s">
        <v>292</v>
      </c>
      <c r="C77" s="499">
        <v>0.7</v>
      </c>
      <c r="E77" s="5" t="s">
        <v>293</v>
      </c>
      <c r="P77" s="75"/>
    </row>
    <row r="78" spans="1:16" ht="14.25" customHeight="1">
      <c r="A78" s="508" t="s">
        <v>294</v>
      </c>
      <c r="B78" s="504" t="s">
        <v>292</v>
      </c>
      <c r="C78" s="505">
        <f>0.7*2</f>
        <v>1.4</v>
      </c>
      <c r="E78" s="5" t="s">
        <v>295</v>
      </c>
      <c r="P78" s="75"/>
    </row>
    <row r="79" spans="1:16" ht="14.25" customHeight="1">
      <c r="A79" s="508" t="s">
        <v>296</v>
      </c>
      <c r="B79" s="504" t="s">
        <v>292</v>
      </c>
      <c r="C79" s="505">
        <f>0.8*2</f>
        <v>1.6</v>
      </c>
      <c r="E79" s="5" t="s">
        <v>297</v>
      </c>
      <c r="P79" s="75"/>
    </row>
    <row r="80" spans="1:16" ht="14.25" customHeight="1">
      <c r="A80" s="508" t="s">
        <v>298</v>
      </c>
      <c r="B80" s="504" t="s">
        <v>292</v>
      </c>
      <c r="C80" s="505">
        <v>2</v>
      </c>
      <c r="E80" s="5" t="s">
        <v>299</v>
      </c>
      <c r="P80" s="75"/>
    </row>
    <row r="81" spans="1:16" ht="14.25" customHeight="1">
      <c r="A81" s="507" t="s">
        <v>300</v>
      </c>
      <c r="B81" s="500" t="s">
        <v>292</v>
      </c>
      <c r="C81" s="501">
        <v>2</v>
      </c>
      <c r="E81" s="5" t="s">
        <v>299</v>
      </c>
      <c r="P81" s="75"/>
    </row>
    <row r="82" spans="1:16" ht="14.25" customHeight="1">
      <c r="A82" s="5" t="s">
        <v>316</v>
      </c>
      <c r="B82" s="6" t="s">
        <v>289</v>
      </c>
      <c r="C82" s="5">
        <f>36/1000*0.65/1.2</f>
        <v>1.95E-2</v>
      </c>
      <c r="E82" s="5" t="s">
        <v>317</v>
      </c>
      <c r="P82" s="75"/>
    </row>
    <row r="83" spans="1:16" ht="14.25" customHeight="1">
      <c r="A83" s="507" t="s">
        <v>318</v>
      </c>
      <c r="B83" s="500" t="s">
        <v>289</v>
      </c>
      <c r="C83" s="930">
        <f>44/1000*0.85</f>
        <v>3.7399999999999996E-2</v>
      </c>
      <c r="E83" s="5" t="s">
        <v>319</v>
      </c>
      <c r="P83" s="75"/>
    </row>
    <row r="84" spans="1:16" ht="14.25" customHeight="1">
      <c r="A84" s="495" t="s">
        <v>320</v>
      </c>
      <c r="B84" s="495"/>
      <c r="C84" s="495"/>
      <c r="P84" s="75"/>
    </row>
    <row r="85" spans="1:16" ht="14.25" customHeight="1">
      <c r="A85" s="506" t="s">
        <v>321</v>
      </c>
      <c r="B85" s="498" t="s">
        <v>164</v>
      </c>
      <c r="C85" s="499">
        <v>95</v>
      </c>
      <c r="P85" s="75"/>
    </row>
    <row r="86" spans="1:16" ht="14.25" customHeight="1">
      <c r="A86" s="508" t="s">
        <v>322</v>
      </c>
      <c r="B86" s="504" t="s">
        <v>164</v>
      </c>
      <c r="C86" s="505">
        <v>95</v>
      </c>
      <c r="P86" s="75"/>
    </row>
    <row r="87" spans="1:16" ht="14.25" customHeight="1">
      <c r="A87" s="508" t="s">
        <v>323</v>
      </c>
      <c r="B87" s="504" t="s">
        <v>164</v>
      </c>
      <c r="C87" s="505">
        <v>120</v>
      </c>
      <c r="P87" s="75"/>
    </row>
    <row r="88" spans="1:16" ht="14.25" customHeight="1">
      <c r="A88" s="507" t="s">
        <v>324</v>
      </c>
      <c r="B88" s="500" t="s">
        <v>164</v>
      </c>
      <c r="C88" s="501">
        <v>160</v>
      </c>
      <c r="P88" s="75"/>
    </row>
    <row r="89" spans="1:16" ht="14.25" customHeight="1">
      <c r="A89" s="506" t="s">
        <v>325</v>
      </c>
      <c r="B89" s="498" t="s">
        <v>164</v>
      </c>
      <c r="C89" s="499">
        <v>15</v>
      </c>
      <c r="P89" s="75"/>
    </row>
    <row r="90" spans="1:16" ht="14.25" customHeight="1">
      <c r="A90" s="508" t="s">
        <v>326</v>
      </c>
      <c r="B90" s="504" t="s">
        <v>164</v>
      </c>
      <c r="C90" s="505">
        <v>15</v>
      </c>
      <c r="P90" s="75"/>
    </row>
    <row r="91" spans="1:16" ht="14.25" customHeight="1">
      <c r="A91" s="508" t="s">
        <v>327</v>
      </c>
      <c r="B91" s="504" t="s">
        <v>164</v>
      </c>
      <c r="C91" s="505">
        <v>20</v>
      </c>
      <c r="P91" s="75"/>
    </row>
    <row r="92" spans="1:16" ht="14.25" customHeight="1">
      <c r="A92" s="508" t="s">
        <v>328</v>
      </c>
      <c r="B92" s="504" t="s">
        <v>164</v>
      </c>
      <c r="C92" s="505">
        <v>20</v>
      </c>
      <c r="P92" s="75"/>
    </row>
    <row r="93" spans="1:16" ht="14.25" customHeight="1">
      <c r="A93" s="507" t="s">
        <v>329</v>
      </c>
      <c r="B93" s="500" t="s">
        <v>164</v>
      </c>
      <c r="C93" s="501">
        <v>20</v>
      </c>
      <c r="P93" s="75"/>
    </row>
    <row r="94" spans="1:16" ht="14.25" customHeight="1">
      <c r="A94" s="56" t="s">
        <v>330</v>
      </c>
      <c r="B94" s="6" t="s">
        <v>164</v>
      </c>
      <c r="C94" s="271">
        <v>3500</v>
      </c>
      <c r="P94" s="75"/>
    </row>
    <row r="95" spans="1:16" ht="14.25" customHeight="1">
      <c r="A95" s="506" t="s">
        <v>331</v>
      </c>
      <c r="B95" s="498" t="s">
        <v>164</v>
      </c>
      <c r="C95" s="499">
        <v>100</v>
      </c>
      <c r="P95" s="75"/>
    </row>
    <row r="96" spans="1:16" ht="14.25" customHeight="1">
      <c r="A96" s="508" t="s">
        <v>332</v>
      </c>
      <c r="B96" s="504" t="s">
        <v>164</v>
      </c>
      <c r="C96" s="505">
        <v>300</v>
      </c>
      <c r="P96" s="75"/>
    </row>
    <row r="97" spans="1:16" ht="14.25" customHeight="1">
      <c r="A97" s="508" t="s">
        <v>333</v>
      </c>
      <c r="B97" s="504" t="s">
        <v>164</v>
      </c>
      <c r="C97" s="505">
        <v>200</v>
      </c>
      <c r="P97" s="75"/>
    </row>
    <row r="98" spans="1:16" ht="14.25" customHeight="1">
      <c r="A98" s="508" t="s">
        <v>334</v>
      </c>
      <c r="B98" s="504" t="s">
        <v>164</v>
      </c>
      <c r="C98" s="505">
        <v>20</v>
      </c>
      <c r="P98" s="75"/>
    </row>
    <row r="99" spans="1:16" ht="14.25" customHeight="1">
      <c r="A99" s="508" t="s">
        <v>335</v>
      </c>
      <c r="B99" s="504" t="s">
        <v>164</v>
      </c>
      <c r="C99" s="505">
        <v>2.5</v>
      </c>
      <c r="P99" s="75"/>
    </row>
    <row r="100" spans="1:16" ht="14.25" customHeight="1">
      <c r="A100" s="508" t="s">
        <v>336</v>
      </c>
      <c r="B100" s="504" t="s">
        <v>164</v>
      </c>
      <c r="C100" s="505">
        <v>5</v>
      </c>
      <c r="P100" s="75"/>
    </row>
    <row r="101" spans="1:16" ht="14.25" customHeight="1">
      <c r="A101" s="508" t="s">
        <v>337</v>
      </c>
      <c r="B101" s="504" t="s">
        <v>164</v>
      </c>
      <c r="C101" s="505">
        <v>-20</v>
      </c>
      <c r="E101" s="5" t="s">
        <v>631</v>
      </c>
      <c r="P101" s="75"/>
    </row>
    <row r="102" spans="1:16" ht="14.25" customHeight="1">
      <c r="A102" s="508" t="s">
        <v>338</v>
      </c>
      <c r="B102" s="504" t="s">
        <v>164</v>
      </c>
      <c r="C102" s="505">
        <v>-20</v>
      </c>
      <c r="E102" s="5" t="s">
        <v>630</v>
      </c>
      <c r="P102" s="75"/>
    </row>
    <row r="103" spans="1:16" ht="14.25" customHeight="1">
      <c r="A103" s="508" t="s">
        <v>339</v>
      </c>
      <c r="B103" s="504" t="s">
        <v>164</v>
      </c>
      <c r="C103" s="505">
        <v>15</v>
      </c>
      <c r="P103" s="75"/>
    </row>
    <row r="104" spans="1:16" ht="14.25" customHeight="1">
      <c r="A104" s="508" t="s">
        <v>340</v>
      </c>
      <c r="B104" s="504" t="s">
        <v>164</v>
      </c>
      <c r="C104" s="505">
        <v>40</v>
      </c>
      <c r="P104" s="75"/>
    </row>
    <row r="105" spans="1:16" ht="14.25" customHeight="1">
      <c r="A105" s="507" t="s">
        <v>341</v>
      </c>
      <c r="B105" s="500" t="s">
        <v>164</v>
      </c>
      <c r="C105" s="501">
        <v>60</v>
      </c>
      <c r="P105" s="75"/>
    </row>
    <row r="106" spans="1:16" ht="14.25" customHeight="1">
      <c r="P106" s="26"/>
    </row>
    <row r="107" spans="1:16" ht="14.25" customHeight="1">
      <c r="A107" s="24" t="s">
        <v>342</v>
      </c>
      <c r="B107" s="32"/>
      <c r="C107" s="24"/>
      <c r="D107" s="24"/>
      <c r="E107" s="24"/>
      <c r="G107" s="984"/>
      <c r="H107" s="984"/>
      <c r="I107" s="984"/>
      <c r="P107" s="26"/>
    </row>
    <row r="108" spans="1:16" ht="14.25" customHeight="1">
      <c r="A108" s="495" t="s">
        <v>689</v>
      </c>
      <c r="B108" s="496" t="s">
        <v>343</v>
      </c>
      <c r="C108" s="496" t="s">
        <v>678</v>
      </c>
      <c r="D108" s="496" t="s">
        <v>344</v>
      </c>
      <c r="E108" s="496" t="s">
        <v>345</v>
      </c>
      <c r="F108" s="5" t="s">
        <v>676</v>
      </c>
      <c r="G108" s="971"/>
      <c r="H108" s="971"/>
      <c r="I108" s="969"/>
      <c r="P108" s="26"/>
    </row>
    <row r="109" spans="1:16" ht="14.25" customHeight="1">
      <c r="A109" s="506" t="s">
        <v>191</v>
      </c>
      <c r="B109" s="498" t="s">
        <v>346</v>
      </c>
      <c r="C109" s="931">
        <v>214.26597246268599</v>
      </c>
      <c r="D109" s="932">
        <v>1187.9240201350301</v>
      </c>
      <c r="E109" s="932">
        <f t="shared" ref="E109" si="0">D109*0.2777</f>
        <v>329.88650039149786</v>
      </c>
      <c r="F109" s="5" t="s">
        <v>677</v>
      </c>
      <c r="G109" s="270"/>
      <c r="I109" s="969"/>
      <c r="K109" s="972"/>
      <c r="L109" s="972"/>
    </row>
    <row r="110" spans="1:16" ht="14.25" customHeight="1">
      <c r="A110" s="508" t="s">
        <v>98</v>
      </c>
      <c r="B110" s="504" t="s">
        <v>190</v>
      </c>
      <c r="C110" s="933">
        <f>0.406385171771871*1000</f>
        <v>406.385171771871</v>
      </c>
      <c r="D110" s="934">
        <f>7.8568643710914*1000</f>
        <v>7856.8643710914002</v>
      </c>
      <c r="E110" s="934">
        <f>D110*0.2777</f>
        <v>2181.851235852082</v>
      </c>
      <c r="F110" s="5" t="s">
        <v>679</v>
      </c>
      <c r="G110" s="270"/>
      <c r="I110" s="970"/>
      <c r="K110" s="972"/>
      <c r="L110" s="972"/>
    </row>
    <row r="111" spans="1:16" ht="14.25" customHeight="1">
      <c r="A111" s="508" t="s">
        <v>347</v>
      </c>
      <c r="B111" s="504" t="s">
        <v>348</v>
      </c>
      <c r="C111" s="933">
        <v>2.6131459252136202</v>
      </c>
      <c r="D111" s="934">
        <v>62.732559792971898</v>
      </c>
      <c r="E111" s="934">
        <f>D111*0.2777</f>
        <v>17.420831854508297</v>
      </c>
      <c r="F111" s="5" t="s">
        <v>680</v>
      </c>
      <c r="G111" s="270"/>
      <c r="I111" s="969"/>
      <c r="K111" s="972"/>
      <c r="L111" s="972"/>
    </row>
    <row r="112" spans="1:16" ht="14.25" customHeight="1">
      <c r="A112" s="508" t="s">
        <v>349</v>
      </c>
      <c r="B112" s="504" t="s">
        <v>175</v>
      </c>
      <c r="C112" s="933">
        <v>5.7132814211140999E-3</v>
      </c>
      <c r="D112" s="934">
        <v>5.0663209632262802</v>
      </c>
      <c r="E112" s="934">
        <f t="shared" ref="E112:E117" si="1">D112*0.2777</f>
        <v>1.406917331487938</v>
      </c>
      <c r="F112" s="5" t="s">
        <v>681</v>
      </c>
      <c r="G112" s="270"/>
      <c r="I112" s="969"/>
      <c r="K112" s="972"/>
      <c r="L112" s="972"/>
      <c r="M112" s="489"/>
    </row>
    <row r="113" spans="1:12" ht="14.25" customHeight="1">
      <c r="A113" s="508" t="s">
        <v>350</v>
      </c>
      <c r="B113" s="504" t="s">
        <v>175</v>
      </c>
      <c r="C113" s="933">
        <v>5.4257623885580353E-3</v>
      </c>
      <c r="D113" s="934">
        <f>E113*1/0.2777</f>
        <v>4.7279026670579247</v>
      </c>
      <c r="E113" s="934">
        <v>1.3129385706419856</v>
      </c>
      <c r="G113" s="270"/>
      <c r="I113" s="969"/>
      <c r="K113" s="972"/>
      <c r="L113" s="972"/>
    </row>
    <row r="114" spans="1:12" ht="14.25" customHeight="1">
      <c r="A114" s="508" t="s">
        <v>625</v>
      </c>
      <c r="B114" s="504" t="s">
        <v>175</v>
      </c>
      <c r="C114" s="933">
        <v>4.0343584711385397E-2</v>
      </c>
      <c r="D114" s="934">
        <v>6.67056131391519</v>
      </c>
      <c r="E114" s="934">
        <f t="shared" si="1"/>
        <v>1.8524148768742483</v>
      </c>
      <c r="F114" s="5" t="s">
        <v>682</v>
      </c>
      <c r="G114" s="270"/>
      <c r="I114" s="969"/>
      <c r="K114" s="972"/>
      <c r="L114" s="972"/>
    </row>
    <row r="115" spans="1:12" ht="14.25" customHeight="1">
      <c r="A115" s="508" t="s">
        <v>624</v>
      </c>
      <c r="B115" s="504" t="s">
        <v>175</v>
      </c>
      <c r="C115" s="933">
        <v>3.1201197459683201E-2</v>
      </c>
      <c r="D115" s="934">
        <v>6.3003492921279101</v>
      </c>
      <c r="E115" s="934">
        <f t="shared" ref="E115" si="2">D115*0.2777</f>
        <v>1.7496069984239206</v>
      </c>
      <c r="F115" s="5" t="s">
        <v>683</v>
      </c>
      <c r="G115" s="270"/>
      <c r="I115" s="969"/>
      <c r="K115" s="972"/>
      <c r="L115" s="972"/>
    </row>
    <row r="116" spans="1:12" ht="14.25" customHeight="1">
      <c r="A116" s="508" t="s">
        <v>351</v>
      </c>
      <c r="B116" s="504" t="s">
        <v>352</v>
      </c>
      <c r="C116" s="933">
        <v>1.5570922100412899E-2</v>
      </c>
      <c r="D116" s="934">
        <v>0.65025893274179503</v>
      </c>
      <c r="E116" s="934">
        <f t="shared" si="1"/>
        <v>0.18057690562239648</v>
      </c>
      <c r="F116" s="5" t="s">
        <v>684</v>
      </c>
      <c r="G116" s="270"/>
      <c r="I116" s="641"/>
      <c r="K116" s="972"/>
      <c r="L116" s="972"/>
    </row>
    <row r="117" spans="1:12" ht="14.25" customHeight="1">
      <c r="A117" s="508" t="s">
        <v>353</v>
      </c>
      <c r="B117" s="504" t="s">
        <v>352</v>
      </c>
      <c r="C117" s="933">
        <v>0.122434765573078</v>
      </c>
      <c r="D117" s="934">
        <v>4.0956729810181098</v>
      </c>
      <c r="E117" s="934">
        <f t="shared" si="1"/>
        <v>1.1373683868287292</v>
      </c>
      <c r="F117" s="5" t="s">
        <v>685</v>
      </c>
      <c r="G117" s="270"/>
      <c r="I117" s="641"/>
      <c r="K117" s="972"/>
      <c r="L117" s="972"/>
    </row>
    <row r="118" spans="1:12" ht="14.25" hidden="1" customHeight="1">
      <c r="A118" s="508" t="s">
        <v>354</v>
      </c>
      <c r="B118" s="504" t="s">
        <v>348</v>
      </c>
      <c r="C118" s="933">
        <v>2.98694979541964</v>
      </c>
      <c r="D118" s="934">
        <v>40.771955075678697</v>
      </c>
      <c r="E118" s="934">
        <f>D118*0.2777</f>
        <v>11.322371924515974</v>
      </c>
      <c r="F118" s="5" t="s">
        <v>686</v>
      </c>
      <c r="G118" s="270"/>
      <c r="I118" s="641"/>
      <c r="K118" s="972"/>
      <c r="L118" s="972"/>
    </row>
    <row r="119" spans="1:12" ht="14.25" customHeight="1">
      <c r="A119" s="508" t="s">
        <v>355</v>
      </c>
      <c r="B119" s="504" t="s">
        <v>356</v>
      </c>
      <c r="C119" s="933">
        <f>1.03060036214012/0.83</f>
        <v>1.2416871833013496</v>
      </c>
      <c r="D119" s="934">
        <f>53.7744182815432/0.83</f>
        <v>64.788455760895417</v>
      </c>
      <c r="E119" s="934">
        <f>D119*0.2777</f>
        <v>17.991754164800657</v>
      </c>
      <c r="F119" s="5" t="s">
        <v>687</v>
      </c>
      <c r="G119" s="270"/>
      <c r="K119" s="972"/>
      <c r="L119" s="972"/>
    </row>
    <row r="120" spans="1:12" ht="14.25" customHeight="1">
      <c r="A120" s="507" t="s">
        <v>100</v>
      </c>
      <c r="B120" s="500" t="s">
        <v>190</v>
      </c>
      <c r="C120" s="935">
        <f>0.00661205759109359*1000</f>
        <v>6.6120575910935901</v>
      </c>
      <c r="D120" s="936">
        <f>0.122087943693985*1000</f>
        <v>122.087943693985</v>
      </c>
      <c r="E120" s="936">
        <v>33.770000000000003</v>
      </c>
      <c r="F120" s="5" t="s">
        <v>688</v>
      </c>
      <c r="G120" s="270"/>
      <c r="K120" s="972"/>
      <c r="L120" s="972"/>
    </row>
    <row r="121" spans="1:12" ht="14.25" customHeight="1">
      <c r="A121" s="56"/>
      <c r="C121" s="270"/>
      <c r="D121" s="272"/>
      <c r="E121" s="270"/>
      <c r="F121" s="270"/>
    </row>
    <row r="122" spans="1:12" ht="14.25" customHeight="1">
      <c r="A122" s="506" t="s">
        <v>357</v>
      </c>
      <c r="B122" s="498" t="s">
        <v>358</v>
      </c>
      <c r="C122" s="499">
        <v>0.15</v>
      </c>
      <c r="K122" s="270"/>
    </row>
    <row r="123" spans="1:12" ht="14.25" customHeight="1">
      <c r="A123" s="507" t="s">
        <v>359</v>
      </c>
      <c r="B123" s="500" t="s">
        <v>358</v>
      </c>
      <c r="C123" s="501">
        <v>1.5</v>
      </c>
      <c r="D123" s="272"/>
      <c r="F123" s="270"/>
    </row>
    <row r="124" spans="1:12" ht="14.25" customHeight="1">
      <c r="A124" s="506" t="s">
        <v>360</v>
      </c>
      <c r="B124" s="498" t="s">
        <v>361</v>
      </c>
      <c r="C124" s="499">
        <v>6</v>
      </c>
    </row>
    <row r="125" spans="1:12" ht="14.25" customHeight="1">
      <c r="A125" s="507" t="s">
        <v>362</v>
      </c>
      <c r="B125" s="500" t="s">
        <v>363</v>
      </c>
      <c r="C125" s="501">
        <v>4</v>
      </c>
    </row>
    <row r="126" spans="1:12" ht="14.25" customHeight="1">
      <c r="A126" s="506" t="s">
        <v>364</v>
      </c>
      <c r="B126" s="498" t="s">
        <v>361</v>
      </c>
      <c r="C126" s="499">
        <v>14</v>
      </c>
    </row>
    <row r="127" spans="1:12" ht="14.25" customHeight="1">
      <c r="A127" s="507" t="s">
        <v>365</v>
      </c>
      <c r="B127" s="500" t="s">
        <v>363</v>
      </c>
      <c r="C127" s="501">
        <v>5</v>
      </c>
    </row>
    <row r="128" spans="1:12" ht="14.25" customHeight="1">
      <c r="A128" s="56" t="s">
        <v>366</v>
      </c>
      <c r="B128" s="6" t="s">
        <v>361</v>
      </c>
      <c r="C128" s="271">
        <v>7</v>
      </c>
      <c r="E128" s="5" t="s">
        <v>367</v>
      </c>
    </row>
    <row r="129" spans="1:5" ht="14.25" customHeight="1">
      <c r="A129" s="506" t="s">
        <v>368</v>
      </c>
      <c r="B129" s="498" t="s">
        <v>361</v>
      </c>
      <c r="C129" s="499">
        <v>20</v>
      </c>
      <c r="E129" s="5" t="s">
        <v>369</v>
      </c>
    </row>
    <row r="130" spans="1:5" ht="14.25" customHeight="1">
      <c r="A130" s="507" t="s">
        <v>370</v>
      </c>
      <c r="B130" s="500" t="s">
        <v>363</v>
      </c>
      <c r="C130" s="501">
        <v>2.2999999999999998</v>
      </c>
    </row>
    <row r="131" spans="1:5" ht="14.25" customHeight="1">
      <c r="A131" s="506" t="s">
        <v>371</v>
      </c>
      <c r="B131" s="498" t="s">
        <v>361</v>
      </c>
      <c r="C131" s="499">
        <v>5</v>
      </c>
    </row>
    <row r="132" spans="1:5" ht="14.25" customHeight="1">
      <c r="A132" s="508" t="s">
        <v>372</v>
      </c>
      <c r="B132" s="504" t="s">
        <v>361</v>
      </c>
      <c r="C132" s="505">
        <v>35</v>
      </c>
      <c r="E132" s="5" t="s">
        <v>369</v>
      </c>
    </row>
    <row r="133" spans="1:5" ht="14.25" customHeight="1">
      <c r="A133" s="507" t="s">
        <v>373</v>
      </c>
      <c r="B133" s="500" t="s">
        <v>361</v>
      </c>
      <c r="C133" s="501">
        <v>75</v>
      </c>
      <c r="E133" s="5" t="s">
        <v>369</v>
      </c>
    </row>
    <row r="134" spans="1:5" ht="14.25" customHeight="1">
      <c r="A134" s="509" t="s">
        <v>374</v>
      </c>
      <c r="B134" s="502" t="s">
        <v>361</v>
      </c>
      <c r="C134" s="503">
        <v>5</v>
      </c>
    </row>
    <row r="135" spans="1:5" ht="14.25" customHeight="1">
      <c r="A135" s="506" t="s">
        <v>375</v>
      </c>
      <c r="B135" s="498" t="s">
        <v>361</v>
      </c>
      <c r="C135" s="499">
        <v>3</v>
      </c>
    </row>
    <row r="136" spans="1:5" ht="14.25" customHeight="1">
      <c r="A136" s="507" t="s">
        <v>376</v>
      </c>
      <c r="B136" s="500" t="s">
        <v>363</v>
      </c>
      <c r="C136" s="501">
        <v>5</v>
      </c>
    </row>
    <row r="137" spans="1:5" ht="14.25" customHeight="1">
      <c r="A137" s="509" t="s">
        <v>377</v>
      </c>
      <c r="B137" s="502" t="s">
        <v>361</v>
      </c>
      <c r="C137" s="503">
        <v>3.5</v>
      </c>
      <c r="E137" s="5" t="s">
        <v>378</v>
      </c>
    </row>
    <row r="138" spans="1:5" ht="14.25" customHeight="1">
      <c r="A138" s="510" t="s">
        <v>114</v>
      </c>
      <c r="B138" s="502" t="s">
        <v>361</v>
      </c>
      <c r="C138" s="503">
        <v>3.5</v>
      </c>
      <c r="E138" s="5" t="s">
        <v>379</v>
      </c>
    </row>
    <row r="139" spans="1:5" ht="14.25" customHeight="1">
      <c r="A139" s="510" t="s">
        <v>115</v>
      </c>
      <c r="B139" s="502" t="s">
        <v>361</v>
      </c>
      <c r="C139" s="503">
        <v>2</v>
      </c>
      <c r="E139" s="5" t="s">
        <v>380</v>
      </c>
    </row>
    <row r="140" spans="1:5" ht="14.25" customHeight="1">
      <c r="A140" s="510" t="s">
        <v>116</v>
      </c>
      <c r="B140" s="502" t="s">
        <v>361</v>
      </c>
      <c r="C140" s="503">
        <v>3</v>
      </c>
      <c r="E140" s="5" t="s">
        <v>380</v>
      </c>
    </row>
    <row r="142" spans="1:5" ht="14.25" customHeight="1">
      <c r="A142" s="866" t="s">
        <v>381</v>
      </c>
      <c r="B142" s="867"/>
      <c r="C142" s="33"/>
    </row>
    <row r="143" spans="1:5" ht="14.25" customHeight="1">
      <c r="A143" s="506" t="s">
        <v>382</v>
      </c>
      <c r="B143" s="498" t="s">
        <v>25</v>
      </c>
      <c r="C143" s="499">
        <v>5600</v>
      </c>
      <c r="E143" s="5" t="s">
        <v>642</v>
      </c>
    </row>
    <row r="144" spans="1:5" ht="14.25" customHeight="1">
      <c r="A144" s="508" t="s">
        <v>636</v>
      </c>
      <c r="B144" s="504" t="s">
        <v>25</v>
      </c>
      <c r="C144" s="505">
        <v>2915</v>
      </c>
      <c r="E144" s="5" t="s">
        <v>641</v>
      </c>
    </row>
    <row r="145" spans="1:14" ht="14.25" customHeight="1">
      <c r="A145" s="508" t="s">
        <v>383</v>
      </c>
      <c r="B145" s="504" t="s">
        <v>25</v>
      </c>
      <c r="C145" s="505">
        <v>350</v>
      </c>
      <c r="E145" s="5" t="s">
        <v>640</v>
      </c>
    </row>
    <row r="146" spans="1:14" ht="14.25" customHeight="1">
      <c r="A146" s="508" t="s">
        <v>384</v>
      </c>
      <c r="B146" s="504" t="s">
        <v>25</v>
      </c>
      <c r="C146" s="505">
        <v>700</v>
      </c>
      <c r="E146" s="5" t="s">
        <v>637</v>
      </c>
    </row>
    <row r="147" spans="1:14" ht="14.25" customHeight="1">
      <c r="A147" s="508" t="s">
        <v>385</v>
      </c>
      <c r="B147" s="504" t="s">
        <v>25</v>
      </c>
      <c r="C147" s="505">
        <v>1750</v>
      </c>
      <c r="E147" s="5" t="s">
        <v>640</v>
      </c>
    </row>
    <row r="148" spans="1:14" ht="14.25" customHeight="1">
      <c r="A148" s="508" t="s">
        <v>621</v>
      </c>
      <c r="B148" s="504" t="s">
        <v>25</v>
      </c>
      <c r="C148" s="505">
        <v>300</v>
      </c>
      <c r="E148" s="5" t="s">
        <v>639</v>
      </c>
    </row>
    <row r="149" spans="1:14" ht="14.25" customHeight="1">
      <c r="A149" s="507" t="s">
        <v>622</v>
      </c>
      <c r="B149" s="500" t="s">
        <v>25</v>
      </c>
      <c r="C149" s="501">
        <v>150</v>
      </c>
      <c r="E149" s="5" t="s">
        <v>638</v>
      </c>
    </row>
    <row r="151" spans="1:14" ht="14.25" customHeight="1">
      <c r="A151" s="865" t="s">
        <v>386</v>
      </c>
      <c r="B151" s="32"/>
      <c r="C151" s="24"/>
    </row>
    <row r="152" spans="1:14" ht="14.25" customHeight="1">
      <c r="A152" s="506" t="s">
        <v>387</v>
      </c>
      <c r="B152" s="498" t="s">
        <v>388</v>
      </c>
      <c r="C152" s="924">
        <v>96250</v>
      </c>
      <c r="I152" s="519"/>
    </row>
    <row r="153" spans="1:14" ht="14.25" customHeight="1">
      <c r="A153" s="508" t="s">
        <v>389</v>
      </c>
      <c r="B153" s="504" t="s">
        <v>390</v>
      </c>
      <c r="C153" s="505">
        <v>15</v>
      </c>
    </row>
    <row r="154" spans="1:14" ht="14.25" customHeight="1">
      <c r="A154" s="507" t="s">
        <v>391</v>
      </c>
      <c r="B154" s="500" t="s">
        <v>5</v>
      </c>
      <c r="C154" s="501">
        <v>0.02</v>
      </c>
      <c r="E154" s="5" t="s">
        <v>392</v>
      </c>
      <c r="F154" s="490"/>
      <c r="H154" s="5" t="s">
        <v>393</v>
      </c>
    </row>
    <row r="155" spans="1:14" ht="14.25" customHeight="1">
      <c r="C155" s="6"/>
      <c r="E155" s="490"/>
      <c r="F155" s="490"/>
    </row>
    <row r="156" spans="1:14" ht="14.25" customHeight="1">
      <c r="A156" s="865" t="s">
        <v>394</v>
      </c>
      <c r="B156" s="32"/>
      <c r="C156" s="24"/>
      <c r="D156" s="24"/>
      <c r="E156" s="24"/>
      <c r="F156" s="24"/>
      <c r="G156" s="24"/>
      <c r="H156" s="24"/>
      <c r="I156" s="24"/>
      <c r="J156" s="24"/>
    </row>
    <row r="157" spans="1:14" ht="14.25" customHeight="1">
      <c r="A157" s="56"/>
      <c r="B157" s="57"/>
      <c r="C157" s="512" t="s">
        <v>129</v>
      </c>
      <c r="D157" s="512" t="s">
        <v>137</v>
      </c>
      <c r="E157" s="512" t="s">
        <v>120</v>
      </c>
      <c r="F157" s="512" t="s">
        <v>395</v>
      </c>
      <c r="G157" s="512" t="s">
        <v>148</v>
      </c>
      <c r="H157" s="512" t="s">
        <v>148</v>
      </c>
      <c r="I157" s="512" t="s">
        <v>121</v>
      </c>
      <c r="J157" s="512" t="s">
        <v>121</v>
      </c>
      <c r="K157" s="56"/>
      <c r="L157" s="56"/>
      <c r="M157" s="497"/>
      <c r="N157" s="497"/>
    </row>
    <row r="158" spans="1:14" ht="14.25" customHeight="1">
      <c r="A158" s="56"/>
      <c r="B158" s="57"/>
      <c r="C158" s="513"/>
      <c r="D158" s="513"/>
      <c r="E158" s="513"/>
      <c r="F158" s="513"/>
      <c r="G158" s="512" t="s">
        <v>151</v>
      </c>
      <c r="H158" s="512" t="s">
        <v>152</v>
      </c>
      <c r="I158" s="512" t="s">
        <v>225</v>
      </c>
      <c r="J158" s="512" t="s">
        <v>127</v>
      </c>
      <c r="K158" s="56"/>
      <c r="L158" s="56"/>
      <c r="M158" s="497"/>
      <c r="N158" s="497"/>
    </row>
    <row r="159" spans="1:14" ht="14.25" customHeight="1">
      <c r="A159" s="514" t="s">
        <v>396</v>
      </c>
      <c r="B159" s="206" t="s">
        <v>397</v>
      </c>
      <c r="C159" s="520">
        <v>11</v>
      </c>
      <c r="D159" s="520">
        <v>12</v>
      </c>
      <c r="E159" s="520">
        <v>12</v>
      </c>
      <c r="F159" s="520">
        <v>11</v>
      </c>
      <c r="G159" s="521">
        <v>10.4</v>
      </c>
      <c r="H159" s="521">
        <v>10.4</v>
      </c>
      <c r="I159" s="521">
        <v>10.4</v>
      </c>
      <c r="J159" s="521">
        <v>10.4</v>
      </c>
      <c r="K159" s="1030" t="s">
        <v>398</v>
      </c>
      <c r="L159" s="1031"/>
      <c r="M159" s="1031"/>
      <c r="N159" s="497"/>
    </row>
    <row r="160" spans="1:14" ht="14.25" customHeight="1">
      <c r="A160" s="514" t="s">
        <v>399</v>
      </c>
      <c r="B160" s="206" t="s">
        <v>62</v>
      </c>
      <c r="C160" s="520">
        <v>13.3</v>
      </c>
      <c r="D160" s="520">
        <v>14</v>
      </c>
      <c r="E160" s="520">
        <v>14</v>
      </c>
      <c r="F160" s="520">
        <v>13.3</v>
      </c>
      <c r="G160" s="521">
        <v>12.9</v>
      </c>
      <c r="H160" s="521">
        <v>12.9</v>
      </c>
      <c r="I160" s="521">
        <v>12.9</v>
      </c>
      <c r="J160" s="521">
        <v>12.9</v>
      </c>
      <c r="K160" s="1030"/>
      <c r="L160" s="1031"/>
      <c r="M160" s="1031"/>
      <c r="N160" s="497"/>
    </row>
    <row r="161" spans="1:18" ht="14.25" customHeight="1">
      <c r="A161" s="514" t="s">
        <v>400</v>
      </c>
      <c r="B161" s="206" t="s">
        <v>5</v>
      </c>
      <c r="C161" s="206">
        <v>1.6E-2</v>
      </c>
      <c r="D161" s="206">
        <v>1.7999999999999999E-2</v>
      </c>
      <c r="E161" s="206">
        <v>1.7999999999999999E-2</v>
      </c>
      <c r="F161" s="206">
        <v>1.6E-2</v>
      </c>
      <c r="G161" s="206">
        <v>4.4999999999999998E-2</v>
      </c>
      <c r="H161" s="206">
        <v>3.5000000000000003E-2</v>
      </c>
      <c r="I161" s="522">
        <v>0.04</v>
      </c>
      <c r="J161" s="522">
        <v>0.03</v>
      </c>
      <c r="K161" s="1030"/>
      <c r="L161" s="1031"/>
      <c r="M161" s="1031"/>
      <c r="N161" s="497"/>
    </row>
    <row r="162" spans="1:18" ht="14.25" customHeight="1">
      <c r="A162" s="514" t="s">
        <v>401</v>
      </c>
      <c r="B162" s="206" t="s">
        <v>5</v>
      </c>
      <c r="C162" s="206">
        <v>1</v>
      </c>
      <c r="D162" s="206">
        <v>3.5</v>
      </c>
      <c r="E162" s="206">
        <v>3.5</v>
      </c>
      <c r="F162" s="206">
        <v>3.5</v>
      </c>
      <c r="G162" s="206">
        <v>4</v>
      </c>
      <c r="H162" s="206">
        <v>4</v>
      </c>
      <c r="I162" s="206">
        <v>4</v>
      </c>
      <c r="J162" s="206">
        <v>4</v>
      </c>
      <c r="K162" s="1030"/>
      <c r="L162" s="1031"/>
      <c r="M162" s="1031"/>
      <c r="N162" s="497"/>
    </row>
    <row r="163" spans="1:18" ht="14.25" customHeight="1">
      <c r="A163" s="514" t="s">
        <v>402</v>
      </c>
      <c r="B163" s="206" t="s">
        <v>147</v>
      </c>
      <c r="C163" s="206">
        <v>250</v>
      </c>
      <c r="D163" s="206">
        <v>160</v>
      </c>
      <c r="E163" s="206">
        <v>200</v>
      </c>
      <c r="F163" s="206">
        <v>160</v>
      </c>
      <c r="G163" s="206">
        <v>100</v>
      </c>
      <c r="H163" s="206">
        <v>100</v>
      </c>
      <c r="I163" s="206">
        <v>120</v>
      </c>
      <c r="J163" s="206">
        <v>120</v>
      </c>
      <c r="K163" s="56"/>
      <c r="L163" s="56"/>
      <c r="M163" s="497"/>
      <c r="N163" s="497"/>
    </row>
    <row r="164" spans="1:18" ht="14.25" customHeight="1">
      <c r="A164" s="514" t="s">
        <v>403</v>
      </c>
      <c r="B164" s="206" t="s">
        <v>5</v>
      </c>
      <c r="C164" s="206">
        <v>1</v>
      </c>
      <c r="D164" s="206">
        <v>1</v>
      </c>
      <c r="E164" s="206">
        <v>1</v>
      </c>
      <c r="F164" s="206">
        <v>1</v>
      </c>
      <c r="G164" s="206">
        <v>1</v>
      </c>
      <c r="H164" s="206">
        <v>1</v>
      </c>
      <c r="I164" s="206">
        <v>1</v>
      </c>
      <c r="J164" s="206">
        <v>1</v>
      </c>
      <c r="K164" s="56" t="s">
        <v>671</v>
      </c>
      <c r="M164" s="497"/>
      <c r="N164" s="497"/>
    </row>
    <row r="166" spans="1:18" ht="14.25" customHeight="1">
      <c r="A166" s="491" t="s">
        <v>404</v>
      </c>
      <c r="B166" s="907" t="s">
        <v>190</v>
      </c>
      <c r="C166" s="907">
        <v>82</v>
      </c>
    </row>
    <row r="167" spans="1:18" ht="14.25" customHeight="1">
      <c r="A167" s="515" t="s">
        <v>405</v>
      </c>
      <c r="B167" s="907" t="s">
        <v>5</v>
      </c>
      <c r="C167" s="907">
        <v>2.5000000000000001E-3</v>
      </c>
    </row>
    <row r="168" spans="1:18" ht="14.25" customHeight="1">
      <c r="A168" s="515" t="s">
        <v>406</v>
      </c>
      <c r="B168" s="907" t="s">
        <v>5</v>
      </c>
      <c r="C168" s="907">
        <v>1.2999999999999999E-3</v>
      </c>
    </row>
    <row r="169" spans="1:18" ht="14.25" customHeight="1">
      <c r="A169" s="491" t="s">
        <v>407</v>
      </c>
      <c r="B169" s="907" t="s">
        <v>408</v>
      </c>
      <c r="C169" s="907">
        <v>0.31900000000000001</v>
      </c>
    </row>
    <row r="170" spans="1:18" ht="14.25" customHeight="1">
      <c r="A170" s="515" t="s">
        <v>409</v>
      </c>
      <c r="B170" s="907" t="s">
        <v>408</v>
      </c>
      <c r="C170" s="907">
        <v>0.08</v>
      </c>
    </row>
    <row r="172" spans="1:18" ht="14.25" customHeight="1">
      <c r="A172" s="868" t="s">
        <v>410</v>
      </c>
      <c r="B172" s="32"/>
      <c r="C172" s="24"/>
      <c r="D172" s="24"/>
      <c r="E172" s="24"/>
      <c r="F172" s="24"/>
      <c r="G172" s="24"/>
      <c r="H172" s="24"/>
      <c r="I172" s="24"/>
    </row>
    <row r="173" spans="1:18" ht="27.75" customHeight="1">
      <c r="A173" s="491" t="s">
        <v>119</v>
      </c>
      <c r="B173" s="907" t="s">
        <v>128</v>
      </c>
      <c r="C173" s="517" t="s">
        <v>411</v>
      </c>
      <c r="D173" s="208" t="s">
        <v>412</v>
      </c>
      <c r="E173" s="208" t="s">
        <v>413</v>
      </c>
      <c r="F173" s="208" t="s">
        <v>414</v>
      </c>
      <c r="G173" s="304" t="s">
        <v>415</v>
      </c>
      <c r="H173" s="516" t="s">
        <v>416</v>
      </c>
      <c r="I173" s="968" t="s">
        <v>670</v>
      </c>
      <c r="Q173" s="5" t="s">
        <v>417</v>
      </c>
      <c r="R173" s="5" t="s">
        <v>418</v>
      </c>
    </row>
    <row r="174" spans="1:18" ht="14.25" customHeight="1">
      <c r="A174" s="491" t="s">
        <v>129</v>
      </c>
      <c r="B174" s="907">
        <v>202</v>
      </c>
      <c r="C174" s="518" t="s">
        <v>5</v>
      </c>
      <c r="D174" s="518"/>
      <c r="E174" s="518"/>
      <c r="F174" s="518"/>
      <c r="G174" s="492">
        <v>414.6</v>
      </c>
      <c r="H174" s="965">
        <v>2.0100000000000001E-3</v>
      </c>
      <c r="I174" s="907">
        <v>0.56000000000000005</v>
      </c>
      <c r="O174" s="493" t="s">
        <v>419</v>
      </c>
      <c r="P174" s="493"/>
      <c r="Q174" s="493"/>
      <c r="R174" s="493"/>
    </row>
    <row r="175" spans="1:18" ht="14.25" customHeight="1">
      <c r="A175" s="491" t="s">
        <v>129</v>
      </c>
      <c r="B175" s="907">
        <v>404</v>
      </c>
      <c r="C175" s="518" t="s">
        <v>5</v>
      </c>
      <c r="D175" s="518"/>
      <c r="E175" s="518"/>
      <c r="F175" s="518"/>
      <c r="G175" s="492">
        <f>2*G174</f>
        <v>829.2</v>
      </c>
      <c r="H175" s="965">
        <v>2.0100000000000001E-3</v>
      </c>
      <c r="I175" s="966">
        <v>0.73</v>
      </c>
      <c r="O175" s="493" t="s">
        <v>420</v>
      </c>
      <c r="P175" s="493" t="s">
        <v>421</v>
      </c>
      <c r="Q175" s="493">
        <v>4</v>
      </c>
      <c r="R175" s="493" t="s">
        <v>422</v>
      </c>
    </row>
    <row r="176" spans="1:18" ht="14.25" customHeight="1">
      <c r="A176" s="491" t="s">
        <v>137</v>
      </c>
      <c r="B176" s="907">
        <v>100</v>
      </c>
      <c r="C176" s="518" t="s">
        <v>5</v>
      </c>
      <c r="D176" s="518"/>
      <c r="E176" s="518"/>
      <c r="F176" s="518"/>
      <c r="G176" s="492">
        <v>237</v>
      </c>
      <c r="H176" s="965">
        <v>2.0999999999999999E-3</v>
      </c>
      <c r="I176" s="966">
        <v>0.45</v>
      </c>
      <c r="O176" s="493" t="s">
        <v>420</v>
      </c>
      <c r="P176" s="493" t="s">
        <v>423</v>
      </c>
      <c r="Q176" s="493">
        <v>3</v>
      </c>
      <c r="R176" s="493"/>
    </row>
    <row r="177" spans="1:18" ht="14.25" customHeight="1">
      <c r="A177" s="491" t="s">
        <v>137</v>
      </c>
      <c r="B177" s="907">
        <v>150</v>
      </c>
      <c r="C177" s="518" t="s">
        <v>5</v>
      </c>
      <c r="D177" s="518"/>
      <c r="E177" s="518"/>
      <c r="F177" s="518"/>
      <c r="G177" s="492">
        <v>335</v>
      </c>
      <c r="H177" s="965">
        <v>2.0999999999999999E-3</v>
      </c>
      <c r="I177" s="966">
        <v>0.52</v>
      </c>
      <c r="O177" s="493" t="s">
        <v>424</v>
      </c>
      <c r="P177" s="493" t="s">
        <v>425</v>
      </c>
      <c r="Q177" s="493">
        <v>1.06</v>
      </c>
      <c r="R177" s="493"/>
    </row>
    <row r="178" spans="1:18" ht="14.25" customHeight="1">
      <c r="A178" s="491" t="s">
        <v>137</v>
      </c>
      <c r="B178" s="907">
        <v>200</v>
      </c>
      <c r="C178" s="518" t="s">
        <v>5</v>
      </c>
      <c r="D178" s="518"/>
      <c r="E178" s="518"/>
      <c r="F178" s="518"/>
      <c r="G178" s="492">
        <f>2*G176</f>
        <v>474</v>
      </c>
      <c r="H178" s="965">
        <v>2.0999999999999999E-3</v>
      </c>
      <c r="I178" s="966">
        <v>0.59</v>
      </c>
      <c r="O178" s="493" t="s">
        <v>426</v>
      </c>
      <c r="P178" s="493" t="s">
        <v>427</v>
      </c>
      <c r="Q178" s="493">
        <v>0.45</v>
      </c>
      <c r="R178" s="493"/>
    </row>
    <row r="179" spans="1:18" ht="14.25" customHeight="1">
      <c r="A179" s="491" t="s">
        <v>137</v>
      </c>
      <c r="B179" s="907">
        <v>300</v>
      </c>
      <c r="C179" s="518" t="s">
        <v>5</v>
      </c>
      <c r="D179" s="518"/>
      <c r="E179" s="518"/>
      <c r="F179" s="518"/>
      <c r="G179" s="492">
        <f>2*G177</f>
        <v>670</v>
      </c>
      <c r="H179" s="965">
        <v>2.0999999999999999E-3</v>
      </c>
      <c r="I179" s="966">
        <v>0.73</v>
      </c>
      <c r="O179" s="493" t="s">
        <v>428</v>
      </c>
      <c r="P179" s="493" t="s">
        <v>429</v>
      </c>
      <c r="Q179" s="493">
        <v>1.05</v>
      </c>
      <c r="R179" s="493"/>
    </row>
    <row r="180" spans="1:18" ht="14.25" customHeight="1">
      <c r="A180" s="491" t="s">
        <v>120</v>
      </c>
      <c r="B180" s="907">
        <v>200</v>
      </c>
      <c r="C180" s="518" t="s">
        <v>5</v>
      </c>
      <c r="D180" s="518"/>
      <c r="E180" s="518"/>
      <c r="F180" s="518"/>
      <c r="G180" s="492">
        <v>517.79999999999995</v>
      </c>
      <c r="H180" s="965">
        <v>2.0500000000000002E-3</v>
      </c>
      <c r="I180" s="967">
        <v>0.6</v>
      </c>
    </row>
    <row r="181" spans="1:18" ht="14.25" customHeight="1">
      <c r="A181" s="491" t="s">
        <v>120</v>
      </c>
      <c r="B181" s="907">
        <v>400</v>
      </c>
      <c r="C181" s="518" t="s">
        <v>5</v>
      </c>
      <c r="D181" s="518"/>
      <c r="E181" s="518"/>
      <c r="F181" s="518"/>
      <c r="G181" s="492">
        <f>G180*2</f>
        <v>1035.5999999999999</v>
      </c>
      <c r="H181" s="965">
        <v>2.0500000000000002E-3</v>
      </c>
      <c r="I181" s="966">
        <v>0.78</v>
      </c>
    </row>
    <row r="182" spans="1:18" ht="14.25" customHeight="1">
      <c r="A182" s="491" t="s">
        <v>395</v>
      </c>
      <c r="B182" s="907">
        <v>75</v>
      </c>
      <c r="C182" s="518" t="s">
        <v>5</v>
      </c>
      <c r="D182" s="518"/>
      <c r="E182" s="518"/>
      <c r="F182" s="518"/>
      <c r="G182" s="492">
        <v>137.4</v>
      </c>
      <c r="H182" s="965">
        <v>2.5000000000000001E-3</v>
      </c>
      <c r="I182" s="967">
        <v>0.5</v>
      </c>
    </row>
    <row r="183" spans="1:18" ht="14.25" customHeight="1">
      <c r="A183" s="491" t="s">
        <v>395</v>
      </c>
      <c r="B183" s="907">
        <v>105</v>
      </c>
      <c r="C183" s="518" t="s">
        <v>5</v>
      </c>
      <c r="D183" s="518"/>
      <c r="E183" s="518"/>
      <c r="F183" s="518"/>
      <c r="G183" s="492">
        <v>194</v>
      </c>
      <c r="H183" s="965">
        <v>2.5000000000000001E-3</v>
      </c>
      <c r="I183" s="966">
        <v>0.55000000000000004</v>
      </c>
    </row>
    <row r="184" spans="1:18" ht="14.25" customHeight="1">
      <c r="A184" s="491" t="s">
        <v>395</v>
      </c>
      <c r="B184" s="907">
        <v>150</v>
      </c>
      <c r="C184" s="518" t="s">
        <v>5</v>
      </c>
      <c r="D184" s="518"/>
      <c r="E184" s="518"/>
      <c r="F184" s="518"/>
      <c r="G184" s="492">
        <f>G182*2</f>
        <v>274.8</v>
      </c>
      <c r="H184" s="965">
        <v>2.5000000000000001E-3</v>
      </c>
      <c r="I184" s="966">
        <v>0.65</v>
      </c>
    </row>
    <row r="185" spans="1:18" ht="14.25" customHeight="1">
      <c r="A185" s="491" t="s">
        <v>395</v>
      </c>
      <c r="B185" s="907">
        <v>210</v>
      </c>
      <c r="C185" s="518" t="s">
        <v>5</v>
      </c>
      <c r="D185" s="518"/>
      <c r="E185" s="518"/>
      <c r="F185" s="518"/>
      <c r="G185" s="492">
        <f>G183*2</f>
        <v>388</v>
      </c>
      <c r="H185" s="965">
        <v>2.5000000000000001E-3</v>
      </c>
      <c r="I185" s="966">
        <v>0.72</v>
      </c>
    </row>
    <row r="186" spans="1:18" ht="14.25" customHeight="1">
      <c r="A186" s="491" t="s">
        <v>395</v>
      </c>
      <c r="B186" s="907">
        <v>225</v>
      </c>
      <c r="C186" s="518" t="s">
        <v>5</v>
      </c>
      <c r="D186" s="518"/>
      <c r="E186" s="518"/>
      <c r="F186" s="518"/>
      <c r="G186" s="492">
        <f>3*G182</f>
        <v>412.20000000000005</v>
      </c>
      <c r="H186" s="965">
        <v>2.5000000000000001E-3</v>
      </c>
      <c r="I186" s="966">
        <v>0.74</v>
      </c>
    </row>
    <row r="187" spans="1:18" ht="14.25" customHeight="1">
      <c r="A187" s="491" t="s">
        <v>148</v>
      </c>
      <c r="B187" s="907">
        <v>300</v>
      </c>
      <c r="C187" s="517" t="s">
        <v>151</v>
      </c>
      <c r="D187" s="907">
        <v>2</v>
      </c>
      <c r="E187" s="907">
        <v>19</v>
      </c>
      <c r="F187" s="907">
        <v>45</v>
      </c>
      <c r="G187" s="492">
        <f t="shared" ref="G187:G192" si="3">E187*F187+D187*C$166</f>
        <v>1019</v>
      </c>
      <c r="H187" s="965">
        <f t="shared" ref="H187:H192" si="4">(D187*C$166*C$167+E187*F187*C$168)/G187</f>
        <v>1.4931305201177625E-3</v>
      </c>
      <c r="I187" s="967">
        <f t="shared" ref="I187:I192" si="5">(2+D187)/3*C$169+E187*C$170</f>
        <v>1.9453333333333334</v>
      </c>
      <c r="P187" s="5" t="s">
        <v>430</v>
      </c>
    </row>
    <row r="188" spans="1:18" ht="14.25" customHeight="1">
      <c r="A188" s="491" t="s">
        <v>148</v>
      </c>
      <c r="B188" s="907">
        <v>300</v>
      </c>
      <c r="C188" s="517" t="s">
        <v>152</v>
      </c>
      <c r="D188" s="907">
        <v>3</v>
      </c>
      <c r="E188" s="907">
        <v>17</v>
      </c>
      <c r="F188" s="907">
        <v>90</v>
      </c>
      <c r="G188" s="492">
        <f t="shared" si="3"/>
        <v>1776</v>
      </c>
      <c r="H188" s="965">
        <f t="shared" si="4"/>
        <v>1.4662162162162164E-3</v>
      </c>
      <c r="I188" s="967">
        <f t="shared" si="5"/>
        <v>1.8916666666666668</v>
      </c>
      <c r="O188" s="5">
        <f>17*90+3*82</f>
        <v>1776</v>
      </c>
      <c r="P188" s="5" t="s">
        <v>431</v>
      </c>
    </row>
    <row r="189" spans="1:18" ht="14.25" customHeight="1">
      <c r="A189" s="491" t="s">
        <v>148</v>
      </c>
      <c r="B189" s="907">
        <v>600</v>
      </c>
      <c r="C189" s="517" t="s">
        <v>151</v>
      </c>
      <c r="D189" s="907">
        <v>3</v>
      </c>
      <c r="E189" s="907">
        <v>38</v>
      </c>
      <c r="F189" s="907">
        <v>45</v>
      </c>
      <c r="G189" s="492">
        <f t="shared" si="3"/>
        <v>1956</v>
      </c>
      <c r="H189" s="965">
        <f t="shared" si="4"/>
        <v>1.450920245398773E-3</v>
      </c>
      <c r="I189" s="967">
        <f t="shared" si="5"/>
        <v>3.5716666666666668</v>
      </c>
      <c r="P189" s="5" t="s">
        <v>432</v>
      </c>
    </row>
    <row r="190" spans="1:18" ht="14.25" customHeight="1">
      <c r="A190" s="491" t="s">
        <v>148</v>
      </c>
      <c r="B190" s="907">
        <v>600</v>
      </c>
      <c r="C190" s="517" t="s">
        <v>152</v>
      </c>
      <c r="D190" s="907">
        <v>3</v>
      </c>
      <c r="E190" s="907">
        <v>38</v>
      </c>
      <c r="F190" s="907">
        <v>45</v>
      </c>
      <c r="G190" s="492">
        <f t="shared" si="3"/>
        <v>1956</v>
      </c>
      <c r="H190" s="965">
        <f t="shared" si="4"/>
        <v>1.450920245398773E-3</v>
      </c>
      <c r="I190" s="967">
        <f t="shared" si="5"/>
        <v>3.5716666666666668</v>
      </c>
      <c r="O190" s="5">
        <f>38*45+3*82</f>
        <v>1956</v>
      </c>
      <c r="P190" s="5" t="s">
        <v>433</v>
      </c>
    </row>
    <row r="191" spans="1:18" ht="14.25" customHeight="1">
      <c r="A191" s="491" t="s">
        <v>121</v>
      </c>
      <c r="B191" s="907">
        <v>250</v>
      </c>
      <c r="C191" s="517" t="s">
        <v>225</v>
      </c>
      <c r="D191" s="907">
        <v>1</v>
      </c>
      <c r="E191" s="907">
        <v>15</v>
      </c>
      <c r="F191" s="907">
        <v>45</v>
      </c>
      <c r="G191" s="492">
        <f t="shared" si="3"/>
        <v>757</v>
      </c>
      <c r="H191" s="965">
        <f t="shared" si="4"/>
        <v>1.42998678996037E-3</v>
      </c>
      <c r="I191" s="967">
        <f t="shared" si="5"/>
        <v>1.5189999999999999</v>
      </c>
      <c r="O191" s="5">
        <f>15*45+82</f>
        <v>757</v>
      </c>
      <c r="P191" s="5" t="s">
        <v>434</v>
      </c>
    </row>
    <row r="192" spans="1:18" ht="14.25" customHeight="1">
      <c r="A192" s="491" t="s">
        <v>121</v>
      </c>
      <c r="B192" s="907">
        <v>250</v>
      </c>
      <c r="C192" s="517" t="s">
        <v>127</v>
      </c>
      <c r="D192" s="907">
        <v>1</v>
      </c>
      <c r="E192" s="907">
        <v>16</v>
      </c>
      <c r="F192" s="907">
        <v>45</v>
      </c>
      <c r="G192" s="492">
        <f t="shared" si="3"/>
        <v>802</v>
      </c>
      <c r="H192" s="965">
        <f t="shared" si="4"/>
        <v>1.4226932668329178E-3</v>
      </c>
      <c r="I192" s="967">
        <f t="shared" si="5"/>
        <v>1.599</v>
      </c>
      <c r="P192" s="5" t="s">
        <v>435</v>
      </c>
    </row>
    <row r="194" spans="1:9" ht="14.25" customHeight="1">
      <c r="A194" s="491" t="s">
        <v>669</v>
      </c>
      <c r="B194" s="907" t="s">
        <v>54</v>
      </c>
      <c r="C194" s="494">
        <v>0.86</v>
      </c>
      <c r="E194" s="5" t="s">
        <v>436</v>
      </c>
    </row>
    <row r="195" spans="1:9" ht="27" customHeight="1"/>
    <row r="196" spans="1:9" ht="14.25" customHeight="1">
      <c r="A196" s="865" t="s">
        <v>437</v>
      </c>
      <c r="B196" s="32"/>
      <c r="C196" s="24"/>
      <c r="I196" s="5" t="s">
        <v>5</v>
      </c>
    </row>
    <row r="197" spans="1:9" ht="14.25" customHeight="1">
      <c r="A197" s="506" t="s">
        <v>438</v>
      </c>
      <c r="B197" s="498" t="s">
        <v>439</v>
      </c>
      <c r="C197" s="927">
        <v>0.115</v>
      </c>
      <c r="E197" s="5" t="s">
        <v>667</v>
      </c>
    </row>
    <row r="198" spans="1:9" ht="14.25" customHeight="1">
      <c r="A198" s="508" t="s">
        <v>440</v>
      </c>
      <c r="B198" s="504" t="s">
        <v>439</v>
      </c>
      <c r="C198" s="928">
        <v>0</v>
      </c>
      <c r="E198" s="5" t="s">
        <v>666</v>
      </c>
    </row>
    <row r="199" spans="1:9" ht="14.25" customHeight="1">
      <c r="A199" s="508" t="s">
        <v>668</v>
      </c>
      <c r="B199" s="504" t="s">
        <v>5</v>
      </c>
      <c r="C199" s="505">
        <v>0</v>
      </c>
      <c r="E199" s="5" t="s">
        <v>660</v>
      </c>
    </row>
    <row r="200" spans="1:9" ht="14.25" customHeight="1">
      <c r="A200" s="508" t="s">
        <v>441</v>
      </c>
      <c r="B200" s="504" t="s">
        <v>5</v>
      </c>
      <c r="C200" s="505">
        <v>1</v>
      </c>
      <c r="E200" s="5" t="s">
        <v>661</v>
      </c>
    </row>
    <row r="201" spans="1:9" ht="14.25" customHeight="1">
      <c r="A201" s="508" t="s">
        <v>665</v>
      </c>
      <c r="B201" s="504" t="s">
        <v>442</v>
      </c>
      <c r="C201" s="505">
        <v>210</v>
      </c>
      <c r="E201" s="5" t="s">
        <v>662</v>
      </c>
    </row>
    <row r="202" spans="1:9" ht="14.25" customHeight="1">
      <c r="A202" s="507" t="s">
        <v>664</v>
      </c>
      <c r="B202" s="500" t="s">
        <v>5</v>
      </c>
      <c r="C202" s="501">
        <v>0.02</v>
      </c>
      <c r="E202" s="5" t="s">
        <v>663</v>
      </c>
    </row>
  </sheetData>
  <sheetProtection algorithmName="SHA-512" hashValue="kXSlmCFbUbK5+QmKJ7qQqgNvauD6AEZFvdHj6LwscbFW8OhafaPvntRjqY3rMaaAj79XEifaYrZGDHOL6NsaCg==" saltValue="dklCuv2C174nrEKCMjTHKw==" spinCount="100000" sheet="1" objects="1" scenarios="1"/>
  <protectedRanges>
    <protectedRange algorithmName="SHA-512" hashValue="WRiBOLdCiQ9c1SHCvChWOUI00vwvAyr1/agJDlGy/a1DoH68MDDjYPqNxN1F5Zqo2pWTImmRDwJKgCjXes1cJQ==" saltValue="i0gimSPV8FlA8dX6/QKSgQ==" spinCount="100000" sqref="C152:C153" name="Bereich1"/>
    <protectedRange algorithmName="SHA-512" hashValue="WRiBOLdCiQ9c1SHCvChWOUI00vwvAyr1/agJDlGy/a1DoH68MDDjYPqNxN1F5Zqo2pWTImmRDwJKgCjXes1cJQ==" saltValue="i0gimSPV8FlA8dX6/QKSgQ==" spinCount="100000" sqref="C154:C155" name="Bereich1_1"/>
  </protectedRanges>
  <mergeCells count="3">
    <mergeCell ref="A1:C1"/>
    <mergeCell ref="K159:M162"/>
    <mergeCell ref="G107:I107"/>
  </mergeCells>
  <phoneticPr fontId="4" type="noConversion"/>
  <pageMargins left="0.7" right="0.7" top="0.78740157499999996" bottom="0.78740157499999996" header="0.3" footer="0.3"/>
  <pageSetup paperSize="9" orientation="portrait" horizontalDpi="300"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E57843A6-F9DB-4905-BE99-65D6852E01CF}">
          <x14:formula1>
            <xm:f>Listen!$R$3:$R$5</xm:f>
          </x14:formula1>
          <xm:sqref>P10 P13 P7 P52 C9 C11 C13 C15 C17 C23 C25 C27 P60:P105</xm:sqref>
        </x14:dataValidation>
        <x14:dataValidation type="list" allowBlank="1" showInputMessage="1" showErrorMessage="1" xr:uid="{23EE32CC-83A8-4439-9BF7-14FB917C4847}">
          <x14:formula1>
            <xm:f>Listen!$S$3:$S$6</xm:f>
          </x14:formula1>
          <xm:sqref>C19:C20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33AAB-0CF2-45E5-A9C0-4ECAF78FC8E0}">
  <dimension ref="A1:Q81"/>
  <sheetViews>
    <sheetView workbookViewId="0">
      <selection sqref="A1:C1"/>
    </sheetView>
  </sheetViews>
  <sheetFormatPr baseColWidth="10" defaultColWidth="11.42578125" defaultRowHeight="15" customHeight="1"/>
  <cols>
    <col min="1" max="1" width="32.140625" bestFit="1" customWidth="1"/>
    <col min="2" max="2" width="6.5703125" customWidth="1"/>
    <col min="10" max="10" width="12" bestFit="1" customWidth="1"/>
  </cols>
  <sheetData>
    <row r="1" spans="1:8" ht="15" customHeight="1">
      <c r="A1" s="973" t="s">
        <v>443</v>
      </c>
      <c r="B1" s="973"/>
      <c r="C1" s="973"/>
    </row>
    <row r="2" spans="1:8" ht="15" customHeight="1">
      <c r="A2" s="301" t="s">
        <v>444</v>
      </c>
    </row>
    <row r="3" spans="1:8" ht="15" customHeight="1">
      <c r="A3" s="84" t="s">
        <v>445</v>
      </c>
      <c r="B3" s="793" t="s">
        <v>5</v>
      </c>
      <c r="C3" s="789" t="str" cm="1">
        <f t="array" ref="C3:H3">Tunneldaten!E12:J12</f>
        <v>A</v>
      </c>
      <c r="D3" s="782" t="str">
        <v/>
      </c>
      <c r="E3" s="782" t="str">
        <v/>
      </c>
      <c r="F3" s="783" t="str">
        <v/>
      </c>
      <c r="G3" s="783" t="str">
        <v/>
      </c>
      <c r="H3" s="784" t="str">
        <v/>
      </c>
    </row>
    <row r="4" spans="1:8" ht="15" customHeight="1">
      <c r="A4" s="84" t="s">
        <v>55</v>
      </c>
      <c r="B4" s="793" t="s">
        <v>5</v>
      </c>
      <c r="C4" s="790" cm="1">
        <f t="array" ref="C4:H4">Tunneldaten!E14:J14</f>
        <v>0</v>
      </c>
      <c r="D4" s="779">
        <v>0</v>
      </c>
      <c r="E4" s="779">
        <v>0</v>
      </c>
      <c r="F4" s="780">
        <v>0</v>
      </c>
      <c r="G4" s="780">
        <v>0</v>
      </c>
      <c r="H4" s="781">
        <v>0</v>
      </c>
    </row>
    <row r="5" spans="1:8" ht="15" customHeight="1">
      <c r="A5" s="84" t="s">
        <v>64</v>
      </c>
      <c r="B5" s="793" t="s">
        <v>5</v>
      </c>
      <c r="C5" s="807" cm="1">
        <f t="array" ref="C5:H5">Tunneldaten!E17:J17</f>
        <v>0</v>
      </c>
      <c r="D5" s="808">
        <v>0</v>
      </c>
      <c r="E5" s="808">
        <v>0</v>
      </c>
      <c r="F5" s="809">
        <v>0</v>
      </c>
      <c r="G5" s="809">
        <v>0</v>
      </c>
      <c r="H5" s="810">
        <v>0</v>
      </c>
    </row>
    <row r="6" spans="1:8" ht="15" customHeight="1">
      <c r="A6" s="56" t="s">
        <v>446</v>
      </c>
      <c r="B6" s="639" t="s">
        <v>54</v>
      </c>
      <c r="C6" s="802" t="str" cm="1">
        <f t="array" ref="C6">IF(C4="SM",Listen!$P$3:$P$8,_xlfn._xlws.FILTER(Listen!$P$3:$W$8,Listen!$P$2:$W$2=C5,""))</f>
        <v/>
      </c>
      <c r="D6" s="803" t="str" cm="1">
        <f t="array" ref="D6">IF(D4="SM",Listen!$P$3:$P$8,_xlfn._xlws.FILTER(Listen!$P$3:$W$8,Listen!$P$2:$W$2=D5,""))</f>
        <v/>
      </c>
      <c r="E6" s="803" t="str" cm="1">
        <f t="array" ref="E6">IF(E4="SM",Listen!$P$3:$P$8,_xlfn._xlws.FILTER(Listen!$P$3:$W$8,Listen!$P$2:$W$2=E5,""))</f>
        <v/>
      </c>
      <c r="F6" s="804" t="str" cm="1">
        <f t="array" ref="F6">IF(F4="SM",Listen!$P$3:$P$8,_xlfn._xlws.FILTER(Listen!$P$3:$W$8,Listen!$P$2:$W$2=F5,""))</f>
        <v/>
      </c>
      <c r="G6" s="804" t="str" cm="1">
        <f t="array" ref="G6">IF(G4="SM",Listen!$P$3:$P$8,_xlfn._xlws.FILTER(Listen!$P$3:$W$8,Listen!$P$2:$W$2=G5,""))</f>
        <v/>
      </c>
      <c r="H6" s="805" t="str" cm="1">
        <f t="array" ref="H6">IF(H4="SM",Listen!$P$3:$P$8,_xlfn._xlws.FILTER(Listen!$P$3:$W$8,Listen!$P$2:$W$2=H5,""))</f>
        <v/>
      </c>
    </row>
    <row r="7" spans="1:8" ht="15" customHeight="1">
      <c r="A7" s="56" t="s">
        <v>447</v>
      </c>
      <c r="B7" s="639" t="s">
        <v>54</v>
      </c>
      <c r="C7" s="806"/>
      <c r="D7" s="752"/>
      <c r="E7" s="752"/>
      <c r="F7" s="753"/>
      <c r="G7" s="753"/>
      <c r="H7" s="754"/>
    </row>
    <row r="8" spans="1:8" ht="15" customHeight="1">
      <c r="A8" s="56" t="s">
        <v>448</v>
      </c>
      <c r="B8" s="639" t="s">
        <v>54</v>
      </c>
      <c r="C8" s="806"/>
      <c r="D8" s="752"/>
      <c r="E8" s="752"/>
      <c r="F8" s="753"/>
      <c r="G8" s="753"/>
      <c r="H8" s="754"/>
    </row>
    <row r="9" spans="1:8" ht="15" customHeight="1">
      <c r="A9" s="56" t="s">
        <v>449</v>
      </c>
      <c r="B9" s="639" t="s">
        <v>54</v>
      </c>
      <c r="C9" s="806"/>
      <c r="D9" s="752"/>
      <c r="E9" s="752"/>
      <c r="F9" s="753"/>
      <c r="G9" s="753"/>
      <c r="H9" s="754"/>
    </row>
    <row r="10" spans="1:8" ht="15" customHeight="1">
      <c r="A10" s="56" t="s">
        <v>450</v>
      </c>
      <c r="B10" s="639" t="s">
        <v>54</v>
      </c>
      <c r="C10" s="806"/>
      <c r="D10" s="752"/>
      <c r="E10" s="752"/>
      <c r="F10" s="753"/>
      <c r="G10" s="753"/>
      <c r="H10" s="754"/>
    </row>
    <row r="11" spans="1:8" ht="15" customHeight="1">
      <c r="A11" s="56" t="s">
        <v>67</v>
      </c>
      <c r="B11" s="639" t="s">
        <v>54</v>
      </c>
      <c r="C11" s="807"/>
      <c r="D11" s="808"/>
      <c r="E11" s="808"/>
      <c r="F11" s="809"/>
      <c r="G11" s="809"/>
      <c r="H11" s="810"/>
    </row>
    <row r="12" spans="1:8" ht="15" customHeight="1">
      <c r="A12" s="56" t="s">
        <v>451</v>
      </c>
      <c r="B12" s="639" t="s">
        <v>54</v>
      </c>
      <c r="C12" s="802" cm="1">
        <f t="array" ref="C12:H16">Tunneldaten!E19:J23</f>
        <v>0</v>
      </c>
      <c r="D12" s="803">
        <v>0</v>
      </c>
      <c r="E12" s="803">
        <v>0</v>
      </c>
      <c r="F12" s="804">
        <v>0</v>
      </c>
      <c r="G12" s="804">
        <v>0</v>
      </c>
      <c r="H12" s="805">
        <v>0</v>
      </c>
    </row>
    <row r="13" spans="1:8" ht="15" customHeight="1">
      <c r="A13" s="56" t="s">
        <v>452</v>
      </c>
      <c r="B13" s="639" t="s">
        <v>54</v>
      </c>
      <c r="C13" s="791">
        <v>0</v>
      </c>
      <c r="D13" s="752">
        <v>0</v>
      </c>
      <c r="E13" s="752">
        <v>0</v>
      </c>
      <c r="F13" s="753">
        <v>0</v>
      </c>
      <c r="G13" s="753">
        <v>0</v>
      </c>
      <c r="H13" s="754">
        <v>0</v>
      </c>
    </row>
    <row r="14" spans="1:8" ht="15" customHeight="1">
      <c r="A14" s="56" t="s">
        <v>453</v>
      </c>
      <c r="B14" s="639" t="s">
        <v>54</v>
      </c>
      <c r="C14" s="791">
        <v>0</v>
      </c>
      <c r="D14" s="752">
        <v>0</v>
      </c>
      <c r="E14" s="752">
        <v>0</v>
      </c>
      <c r="F14" s="753">
        <v>0</v>
      </c>
      <c r="G14" s="753">
        <v>0</v>
      </c>
      <c r="H14" s="754">
        <v>0</v>
      </c>
    </row>
    <row r="15" spans="1:8" ht="15" customHeight="1">
      <c r="A15" s="56" t="s">
        <v>454</v>
      </c>
      <c r="B15" s="639" t="s">
        <v>54</v>
      </c>
      <c r="C15" s="791">
        <v>0</v>
      </c>
      <c r="D15" s="752">
        <v>0</v>
      </c>
      <c r="E15" s="752">
        <v>0</v>
      </c>
      <c r="F15" s="753">
        <v>0</v>
      </c>
      <c r="G15" s="753">
        <v>0</v>
      </c>
      <c r="H15" s="754">
        <v>0</v>
      </c>
    </row>
    <row r="16" spans="1:8" ht="15" customHeight="1">
      <c r="A16" s="56" t="s">
        <v>455</v>
      </c>
      <c r="B16" s="639" t="s">
        <v>54</v>
      </c>
      <c r="C16" s="794">
        <v>0</v>
      </c>
      <c r="D16" s="795">
        <v>0</v>
      </c>
      <c r="E16" s="795">
        <v>0</v>
      </c>
      <c r="F16" s="796">
        <v>0</v>
      </c>
      <c r="G16" s="796">
        <v>0</v>
      </c>
      <c r="H16" s="797">
        <v>0</v>
      </c>
    </row>
    <row r="17" spans="1:8" ht="15" customHeight="1">
      <c r="A17" s="56" t="s">
        <v>53</v>
      </c>
      <c r="B17" s="639" t="s">
        <v>54</v>
      </c>
      <c r="C17" s="798" t="str">
        <f>IF(C$3="","",IF(OR(C$4="MUF",C$4="SPV",C$4="TBM"),IF(SUM(C$12:C$16)=100,C12,C6),C6))</f>
        <v/>
      </c>
      <c r="D17" s="799" t="str">
        <f t="shared" ref="D17:H17" si="0">IF(D$3="","",IF(OR(D$4="MUF",D$4="SPV",D$4="TBM"),IF(SUM(D$12:D$16)=100,D12,D6),D6))</f>
        <v/>
      </c>
      <c r="E17" s="799" t="str">
        <f>IF(E$3="","",IF(OR(E$4="MUF",E$4="SPV",E$4="TBM"),IF(SUM(E$12:E$16)=100,E12,E6),E6))</f>
        <v/>
      </c>
      <c r="F17" s="800" t="str">
        <f t="shared" si="0"/>
        <v/>
      </c>
      <c r="G17" s="800" t="str">
        <f t="shared" si="0"/>
        <v/>
      </c>
      <c r="H17" s="801" t="str">
        <f t="shared" si="0"/>
        <v/>
      </c>
    </row>
    <row r="18" spans="1:8" ht="15" customHeight="1">
      <c r="A18" s="56" t="s">
        <v>57</v>
      </c>
      <c r="B18" s="639" t="s">
        <v>54</v>
      </c>
      <c r="C18" s="791">
        <f>IF(C$3="","",IF(OR(C$4="MUF",C$4="SPV",C$4="TBM"),IF(SUM(C$12:C$16)=100,C13,C7),C7))</f>
        <v>0</v>
      </c>
      <c r="D18" s="752" t="str">
        <f t="shared" ref="C18:H21" si="1">IF(D$3="","",IF(OR(D$4="MUF",D$4="SPV",D$4="TBM"),IF(SUM(D$12:D$16)=100,D13,D7),D7))</f>
        <v/>
      </c>
      <c r="E18" s="752" t="str">
        <f>IF(E$3="","",IF(OR(E$4="MUF",E$4="SPV",E$4="TBM"),IF(SUM(E$12:E$16)=100,E13,E7),E7))</f>
        <v/>
      </c>
      <c r="F18" s="753" t="str">
        <f t="shared" si="1"/>
        <v/>
      </c>
      <c r="G18" s="753" t="str">
        <f t="shared" si="1"/>
        <v/>
      </c>
      <c r="H18" s="754" t="str">
        <f t="shared" si="1"/>
        <v/>
      </c>
    </row>
    <row r="19" spans="1:8" ht="15" customHeight="1">
      <c r="A19" s="56" t="s">
        <v>60</v>
      </c>
      <c r="B19" s="639" t="s">
        <v>54</v>
      </c>
      <c r="C19" s="791">
        <f t="shared" si="1"/>
        <v>0</v>
      </c>
      <c r="D19" s="752" t="str">
        <f t="shared" si="1"/>
        <v/>
      </c>
      <c r="E19" s="752" t="str">
        <f>IF(E$3="","",IF(OR(E$4="MUF",E$4="SPV",E$4="TBM"),IF(SUM(E$12:E$16)=100,E14,E8),E8))</f>
        <v/>
      </c>
      <c r="F19" s="753" t="str">
        <f t="shared" si="1"/>
        <v/>
      </c>
      <c r="G19" s="753" t="str">
        <f t="shared" si="1"/>
        <v/>
      </c>
      <c r="H19" s="754" t="str">
        <f t="shared" si="1"/>
        <v/>
      </c>
    </row>
    <row r="20" spans="1:8" ht="15" customHeight="1">
      <c r="A20" s="56" t="s">
        <v>63</v>
      </c>
      <c r="B20" s="639" t="s">
        <v>54</v>
      </c>
      <c r="C20" s="791">
        <f t="shared" si="1"/>
        <v>0</v>
      </c>
      <c r="D20" s="752" t="str">
        <f t="shared" si="1"/>
        <v/>
      </c>
      <c r="E20" s="752" t="str">
        <f>IF(E$3="","",IF(OR(E$4="MUF",E$4="SPV",E$4="TBM"),IF(SUM(E$12:E$16)=100,E15,E9),E9))</f>
        <v/>
      </c>
      <c r="F20" s="753" t="str">
        <f t="shared" si="1"/>
        <v/>
      </c>
      <c r="G20" s="753" t="str">
        <f t="shared" si="1"/>
        <v/>
      </c>
      <c r="H20" s="754" t="str">
        <f t="shared" si="1"/>
        <v/>
      </c>
    </row>
    <row r="21" spans="1:8" ht="15" customHeight="1">
      <c r="A21" s="56" t="s">
        <v>65</v>
      </c>
      <c r="B21" s="639" t="s">
        <v>54</v>
      </c>
      <c r="C21" s="791">
        <f t="shared" si="1"/>
        <v>0</v>
      </c>
      <c r="D21" s="752" t="str">
        <f t="shared" si="1"/>
        <v/>
      </c>
      <c r="E21" s="752" t="str">
        <f>IF(E$3="","",IF(OR(E$4="MUF",E$4="SPV",E$4="TBM"),IF(SUM(E$12:E$16)=100,E16,E10),E10))</f>
        <v/>
      </c>
      <c r="F21" s="753" t="str">
        <f t="shared" si="1"/>
        <v/>
      </c>
      <c r="G21" s="753" t="str">
        <f t="shared" si="1"/>
        <v/>
      </c>
      <c r="H21" s="754" t="str">
        <f t="shared" si="1"/>
        <v/>
      </c>
    </row>
    <row r="22" spans="1:8" ht="15" customHeight="1">
      <c r="A22" s="56" t="s">
        <v>67</v>
      </c>
      <c r="B22" s="639" t="s">
        <v>54</v>
      </c>
      <c r="C22" s="792" t="b">
        <f>IF(C$3="","",IF(OR(C$4="MUF",C$4="SPV",C$4="TBM",C$4="SM"),C11))</f>
        <v>0</v>
      </c>
      <c r="D22" s="755" t="str">
        <f t="shared" ref="D22:H22" si="2">IF(D$3="","",IF(OR(D$4="MUF",D$4="SPV",D$4="TBM",D$4="SM"),D11))</f>
        <v/>
      </c>
      <c r="E22" s="755" t="str">
        <f t="shared" si="2"/>
        <v/>
      </c>
      <c r="F22" s="755" t="str">
        <f t="shared" si="2"/>
        <v/>
      </c>
      <c r="G22" s="755" t="str">
        <f t="shared" si="2"/>
        <v/>
      </c>
      <c r="H22" s="756" t="str">
        <f t="shared" si="2"/>
        <v/>
      </c>
    </row>
    <row r="23" spans="1:8" ht="15" customHeight="1">
      <c r="A23" s="84"/>
      <c r="B23" s="84"/>
      <c r="C23" s="84"/>
      <c r="D23" s="84"/>
      <c r="E23" s="84"/>
    </row>
    <row r="24" spans="1:8" ht="15" customHeight="1">
      <c r="A24" s="302" t="s">
        <v>456</v>
      </c>
      <c r="B24" s="84"/>
      <c r="C24" s="785" t="s">
        <v>46</v>
      </c>
      <c r="D24" s="786" t="str">
        <f>IF(Tunneldaten!F12="","",Tunneldaten!F12)</f>
        <v/>
      </c>
      <c r="E24" s="786" t="str">
        <f>IF(Tunneldaten!G12="","",Tunneldaten!G12)</f>
        <v/>
      </c>
      <c r="F24" s="787" t="str">
        <f>IF(Tunneldaten!H12="","",Tunneldaten!H12)</f>
        <v/>
      </c>
      <c r="G24" s="787" t="str">
        <f>IF(Tunneldaten!I12="","",Tunneldaten!I12)</f>
        <v/>
      </c>
      <c r="H24" s="788" t="str">
        <f>IF(Tunneldaten!J12="","",Tunneldaten!J12)</f>
        <v/>
      </c>
    </row>
    <row r="25" spans="1:8" ht="15" customHeight="1">
      <c r="A25" s="84" t="s">
        <v>457</v>
      </c>
      <c r="B25" s="57" t="s">
        <v>62</v>
      </c>
      <c r="C25" s="854">
        <f>Tunneldaten!E16</f>
        <v>0</v>
      </c>
      <c r="D25" s="855">
        <f>Tunneldaten!F16</f>
        <v>0</v>
      </c>
      <c r="E25" s="855">
        <f>Tunneldaten!G16</f>
        <v>0</v>
      </c>
      <c r="F25" s="856">
        <f>Tunneldaten!H16</f>
        <v>0</v>
      </c>
      <c r="G25" s="856">
        <f>Tunneldaten!I16</f>
        <v>0</v>
      </c>
      <c r="H25" s="857">
        <f>Tunneldaten!J16</f>
        <v>0</v>
      </c>
    </row>
    <row r="26" spans="1:8" ht="15" customHeight="1">
      <c r="A26" s="56" t="s">
        <v>458</v>
      </c>
      <c r="B26" s="57" t="s">
        <v>62</v>
      </c>
      <c r="C26" s="858">
        <f>C30+2*C29/1000</f>
        <v>0</v>
      </c>
      <c r="D26" s="859">
        <f t="shared" ref="D26:H26" si="3">D30+2*D29/1000</f>
        <v>0</v>
      </c>
      <c r="E26" s="859">
        <f t="shared" si="3"/>
        <v>0</v>
      </c>
      <c r="F26" s="860">
        <f t="shared" si="3"/>
        <v>0</v>
      </c>
      <c r="G26" s="860">
        <f t="shared" si="3"/>
        <v>0</v>
      </c>
      <c r="H26" s="861">
        <f t="shared" si="3"/>
        <v>0</v>
      </c>
    </row>
    <row r="27" spans="1:8" ht="15" customHeight="1">
      <c r="A27" s="56" t="s">
        <v>459</v>
      </c>
      <c r="B27" s="57" t="s">
        <v>62</v>
      </c>
      <c r="C27" s="771">
        <f>PI()*C26</f>
        <v>0</v>
      </c>
      <c r="D27" s="772">
        <f t="shared" ref="D27:H27" si="4">PI()*D26</f>
        <v>0</v>
      </c>
      <c r="E27" s="772">
        <f t="shared" si="4"/>
        <v>0</v>
      </c>
      <c r="F27" s="773">
        <f t="shared" si="4"/>
        <v>0</v>
      </c>
      <c r="G27" s="773">
        <f t="shared" si="4"/>
        <v>0</v>
      </c>
      <c r="H27" s="774">
        <f t="shared" si="4"/>
        <v>0</v>
      </c>
    </row>
    <row r="28" spans="1:8" ht="15" customHeight="1">
      <c r="A28" s="56" t="s">
        <v>460</v>
      </c>
      <c r="B28" s="57" t="s">
        <v>461</v>
      </c>
      <c r="C28" s="850">
        <f>PI()*C26^2/4</f>
        <v>0</v>
      </c>
      <c r="D28" s="851">
        <f t="shared" ref="D28:H28" si="5">PI()*D26^2/4</f>
        <v>0</v>
      </c>
      <c r="E28" s="851">
        <f t="shared" si="5"/>
        <v>0</v>
      </c>
      <c r="F28" s="852">
        <f t="shared" si="5"/>
        <v>0</v>
      </c>
      <c r="G28" s="852">
        <f t="shared" si="5"/>
        <v>0</v>
      </c>
      <c r="H28" s="853">
        <f t="shared" si="5"/>
        <v>0</v>
      </c>
    </row>
    <row r="29" spans="1:8" ht="15" customHeight="1">
      <c r="A29" s="56" t="s">
        <v>78</v>
      </c>
      <c r="B29" s="57" t="s">
        <v>25</v>
      </c>
      <c r="C29" s="858">
        <f>Tunneldaten!E25</f>
        <v>0</v>
      </c>
      <c r="D29" s="859">
        <f>Tunneldaten!F25</f>
        <v>0</v>
      </c>
      <c r="E29" s="859">
        <f>Tunneldaten!G25</f>
        <v>0</v>
      </c>
      <c r="F29" s="860">
        <f>Tunneldaten!H25</f>
        <v>0</v>
      </c>
      <c r="G29" s="860">
        <f>Tunneldaten!I25</f>
        <v>0</v>
      </c>
      <c r="H29" s="861">
        <f>Tunneldaten!J25</f>
        <v>0</v>
      </c>
    </row>
    <row r="30" spans="1:8" ht="15" customHeight="1">
      <c r="A30" s="303" t="s">
        <v>462</v>
      </c>
      <c r="B30" s="57" t="s">
        <v>62</v>
      </c>
      <c r="C30" s="771">
        <f>C34+2*C33/1000</f>
        <v>0</v>
      </c>
      <c r="D30" s="772">
        <f t="shared" ref="D30:H30" si="6">D34+2*D33/1000</f>
        <v>0</v>
      </c>
      <c r="E30" s="772">
        <f t="shared" si="6"/>
        <v>0</v>
      </c>
      <c r="F30" s="773">
        <f t="shared" si="6"/>
        <v>0</v>
      </c>
      <c r="G30" s="773">
        <f t="shared" si="6"/>
        <v>0</v>
      </c>
      <c r="H30" s="774">
        <f t="shared" si="6"/>
        <v>0</v>
      </c>
    </row>
    <row r="31" spans="1:8" ht="15" customHeight="1">
      <c r="A31" s="56" t="s">
        <v>459</v>
      </c>
      <c r="B31" s="57" t="s">
        <v>62</v>
      </c>
      <c r="C31" s="771">
        <f t="shared" ref="C31" si="7">PI()*C30</f>
        <v>0</v>
      </c>
      <c r="D31" s="772">
        <f t="shared" ref="D31" si="8">PI()*D30</f>
        <v>0</v>
      </c>
      <c r="E31" s="772">
        <f t="shared" ref="E31" si="9">PI()*E30</f>
        <v>0</v>
      </c>
      <c r="F31" s="773">
        <f t="shared" ref="F31" si="10">PI()*F30</f>
        <v>0</v>
      </c>
      <c r="G31" s="773">
        <f t="shared" ref="G31" si="11">PI()*G30</f>
        <v>0</v>
      </c>
      <c r="H31" s="774">
        <f t="shared" ref="H31" si="12">PI()*H30</f>
        <v>0</v>
      </c>
    </row>
    <row r="32" spans="1:8" ht="15" customHeight="1">
      <c r="A32" s="56" t="s">
        <v>460</v>
      </c>
      <c r="B32" s="57" t="s">
        <v>461</v>
      </c>
      <c r="C32" s="850">
        <f>PI()*C30^2/4</f>
        <v>0</v>
      </c>
      <c r="D32" s="851">
        <f t="shared" ref="D32:H32" si="13">PI()*D30^2/4</f>
        <v>0</v>
      </c>
      <c r="E32" s="851">
        <f t="shared" si="13"/>
        <v>0</v>
      </c>
      <c r="F32" s="852">
        <f t="shared" si="13"/>
        <v>0</v>
      </c>
      <c r="G32" s="852">
        <f t="shared" si="13"/>
        <v>0</v>
      </c>
      <c r="H32" s="853">
        <f t="shared" si="13"/>
        <v>0</v>
      </c>
    </row>
    <row r="33" spans="1:8" ht="15" customHeight="1">
      <c r="A33" s="56" t="s">
        <v>80</v>
      </c>
      <c r="B33" s="57" t="s">
        <v>25</v>
      </c>
      <c r="C33" s="858">
        <f>Tunneldaten!E26</f>
        <v>0</v>
      </c>
      <c r="D33" s="859">
        <f>Tunneldaten!F26</f>
        <v>0</v>
      </c>
      <c r="E33" s="859">
        <f>Tunneldaten!G26</f>
        <v>0</v>
      </c>
      <c r="F33" s="860">
        <f>Tunneldaten!H26</f>
        <v>0</v>
      </c>
      <c r="G33" s="860">
        <f>Tunneldaten!I26</f>
        <v>0</v>
      </c>
      <c r="H33" s="861">
        <f>Tunneldaten!J26</f>
        <v>0</v>
      </c>
    </row>
    <row r="34" spans="1:8" ht="15" customHeight="1">
      <c r="A34" s="303" t="s">
        <v>462</v>
      </c>
      <c r="B34" s="57" t="s">
        <v>62</v>
      </c>
      <c r="C34" s="771">
        <f>C38+2*C37/1000</f>
        <v>0</v>
      </c>
      <c r="D34" s="772">
        <f t="shared" ref="D34:G34" si="14">D38+2*D37/1000</f>
        <v>0</v>
      </c>
      <c r="E34" s="772">
        <f t="shared" si="14"/>
        <v>0</v>
      </c>
      <c r="F34" s="773">
        <f t="shared" si="14"/>
        <v>0</v>
      </c>
      <c r="G34" s="773">
        <f t="shared" si="14"/>
        <v>0</v>
      </c>
      <c r="H34" s="774">
        <f>H38+2*H37/1000</f>
        <v>0</v>
      </c>
    </row>
    <row r="35" spans="1:8" ht="15" customHeight="1">
      <c r="A35" s="56" t="s">
        <v>459</v>
      </c>
      <c r="B35" s="57" t="s">
        <v>62</v>
      </c>
      <c r="C35" s="771">
        <f t="shared" ref="C35" si="15">PI()*C34</f>
        <v>0</v>
      </c>
      <c r="D35" s="772">
        <f t="shared" ref="D35" si="16">PI()*D34</f>
        <v>0</v>
      </c>
      <c r="E35" s="772">
        <f t="shared" ref="E35" si="17">PI()*E34</f>
        <v>0</v>
      </c>
      <c r="F35" s="773">
        <f t="shared" ref="F35" si="18">PI()*F34</f>
        <v>0</v>
      </c>
      <c r="G35" s="773">
        <f t="shared" ref="G35" si="19">PI()*G34</f>
        <v>0</v>
      </c>
      <c r="H35" s="774">
        <f t="shared" ref="H35" si="20">PI()*H34</f>
        <v>0</v>
      </c>
    </row>
    <row r="36" spans="1:8" ht="15" customHeight="1">
      <c r="A36" s="56" t="s">
        <v>460</v>
      </c>
      <c r="B36" s="57" t="s">
        <v>461</v>
      </c>
      <c r="C36" s="850">
        <f>PI()*C34^2/4</f>
        <v>0</v>
      </c>
      <c r="D36" s="851">
        <f t="shared" ref="D36:H36" si="21">PI()*D34^2/4</f>
        <v>0</v>
      </c>
      <c r="E36" s="851">
        <f t="shared" si="21"/>
        <v>0</v>
      </c>
      <c r="F36" s="852">
        <f t="shared" si="21"/>
        <v>0</v>
      </c>
      <c r="G36" s="852">
        <f t="shared" si="21"/>
        <v>0</v>
      </c>
      <c r="H36" s="853">
        <f t="shared" si="21"/>
        <v>0</v>
      </c>
    </row>
    <row r="37" spans="1:8" ht="15" customHeight="1">
      <c r="A37" s="56" t="s">
        <v>82</v>
      </c>
      <c r="B37" s="57" t="s">
        <v>25</v>
      </c>
      <c r="C37" s="858">
        <f>Tunneldaten!E27</f>
        <v>0</v>
      </c>
      <c r="D37" s="859">
        <f>Tunneldaten!F27</f>
        <v>0</v>
      </c>
      <c r="E37" s="859">
        <f>Tunneldaten!G27</f>
        <v>0</v>
      </c>
      <c r="F37" s="860">
        <f>Tunneldaten!H27</f>
        <v>0</v>
      </c>
      <c r="G37" s="860">
        <f>Tunneldaten!I27</f>
        <v>0</v>
      </c>
      <c r="H37" s="861">
        <f>Tunneldaten!J27</f>
        <v>0</v>
      </c>
    </row>
    <row r="38" spans="1:8" ht="15" customHeight="1">
      <c r="A38" s="303" t="s">
        <v>462</v>
      </c>
      <c r="B38" s="57" t="s">
        <v>62</v>
      </c>
      <c r="C38" s="771">
        <f>C43+2*C42/1000</f>
        <v>0</v>
      </c>
      <c r="D38" s="772">
        <f t="shared" ref="D38:H38" si="22">D43+2*D42/1000</f>
        <v>0</v>
      </c>
      <c r="E38" s="772">
        <f t="shared" si="22"/>
        <v>0</v>
      </c>
      <c r="F38" s="773">
        <f t="shared" si="22"/>
        <v>0</v>
      </c>
      <c r="G38" s="773">
        <f t="shared" si="22"/>
        <v>0</v>
      </c>
      <c r="H38" s="774">
        <f t="shared" si="22"/>
        <v>0</v>
      </c>
    </row>
    <row r="39" spans="1:8" ht="15" customHeight="1">
      <c r="A39" s="56" t="s">
        <v>459</v>
      </c>
      <c r="B39" s="57" t="s">
        <v>62</v>
      </c>
      <c r="C39" s="771">
        <f>PI()*C38</f>
        <v>0</v>
      </c>
      <c r="D39" s="772">
        <f t="shared" ref="D39:H39" si="23">PI()*D38</f>
        <v>0</v>
      </c>
      <c r="E39" s="772">
        <f t="shared" si="23"/>
        <v>0</v>
      </c>
      <c r="F39" s="773">
        <f t="shared" si="23"/>
        <v>0</v>
      </c>
      <c r="G39" s="773">
        <f t="shared" si="23"/>
        <v>0</v>
      </c>
      <c r="H39" s="774">
        <f t="shared" si="23"/>
        <v>0</v>
      </c>
    </row>
    <row r="40" spans="1:8" ht="15" customHeight="1">
      <c r="A40" s="56" t="s">
        <v>460</v>
      </c>
      <c r="B40" s="57" t="s">
        <v>461</v>
      </c>
      <c r="C40" s="850">
        <f>PI()*C38^2/4</f>
        <v>0</v>
      </c>
      <c r="D40" s="851">
        <f t="shared" ref="D40:H40" si="24">PI()*D38^2/4</f>
        <v>0</v>
      </c>
      <c r="E40" s="851">
        <f t="shared" si="24"/>
        <v>0</v>
      </c>
      <c r="F40" s="852">
        <f t="shared" si="24"/>
        <v>0</v>
      </c>
      <c r="G40" s="852">
        <f t="shared" si="24"/>
        <v>0</v>
      </c>
      <c r="H40" s="853">
        <f t="shared" si="24"/>
        <v>0</v>
      </c>
    </row>
    <row r="41" spans="1:8" ht="15" customHeight="1">
      <c r="A41" s="56" t="s">
        <v>463</v>
      </c>
      <c r="B41" s="57" t="s">
        <v>464</v>
      </c>
      <c r="C41" s="858">
        <f>IF(ISBLANK(Tunneldaten!E28),Parameter!$C$6,Tunneldaten!E28)</f>
        <v>85</v>
      </c>
      <c r="D41" s="859">
        <f>IF(ISBLANK(Tunneldaten!F28),Parameter!$C$6,Tunneldaten!F28)</f>
        <v>85</v>
      </c>
      <c r="E41" s="859">
        <f>IF(ISBLANK(Tunneldaten!G28),Parameter!$C$6,Tunneldaten!G28)</f>
        <v>85</v>
      </c>
      <c r="F41" s="860">
        <f>IF(ISBLANK(Tunneldaten!H28),Parameter!$C$6,Tunneldaten!H28)</f>
        <v>85</v>
      </c>
      <c r="G41" s="860">
        <f>IF(ISBLANK(Tunneldaten!I28),Parameter!$C$6,Tunneldaten!I28)</f>
        <v>85</v>
      </c>
      <c r="H41" s="861">
        <f>IF(ISBLANK(Tunneldaten!J28),Parameter!$C$6,Tunneldaten!J28)</f>
        <v>85</v>
      </c>
    </row>
    <row r="42" spans="1:8" ht="15" customHeight="1">
      <c r="A42" s="56" t="s">
        <v>85</v>
      </c>
      <c r="B42" s="57" t="s">
        <v>25</v>
      </c>
      <c r="C42" s="858">
        <f>Tunneldaten!E29</f>
        <v>0</v>
      </c>
      <c r="D42" s="859">
        <f>Tunneldaten!F29</f>
        <v>0</v>
      </c>
      <c r="E42" s="859">
        <f>Tunneldaten!G29</f>
        <v>0</v>
      </c>
      <c r="F42" s="860">
        <f>Tunneldaten!H29</f>
        <v>0</v>
      </c>
      <c r="G42" s="860">
        <f>Tunneldaten!I29</f>
        <v>0</v>
      </c>
      <c r="H42" s="861">
        <f>Tunneldaten!J29</f>
        <v>0</v>
      </c>
    </row>
    <row r="43" spans="1:8" ht="15" customHeight="1">
      <c r="A43" s="303" t="s">
        <v>462</v>
      </c>
      <c r="B43" s="57" t="s">
        <v>62</v>
      </c>
      <c r="C43" s="771">
        <f>Tunneldaten!$E$6/1000</f>
        <v>0</v>
      </c>
      <c r="D43" s="772">
        <f>Tunneldaten!$E$6/1000</f>
        <v>0</v>
      </c>
      <c r="E43" s="772">
        <f>Tunneldaten!$E$6/1000</f>
        <v>0</v>
      </c>
      <c r="F43" s="773">
        <f>Tunneldaten!$E$6/1000</f>
        <v>0</v>
      </c>
      <c r="G43" s="773">
        <f>Tunneldaten!$E$6/1000</f>
        <v>0</v>
      </c>
      <c r="H43" s="774">
        <f>Tunneldaten!$E$6/1000</f>
        <v>0</v>
      </c>
    </row>
    <row r="44" spans="1:8" ht="15" customHeight="1">
      <c r="A44" s="56" t="s">
        <v>459</v>
      </c>
      <c r="B44" s="57" t="s">
        <v>62</v>
      </c>
      <c r="C44" s="771">
        <f>PI()*C43</f>
        <v>0</v>
      </c>
      <c r="D44" s="772">
        <f t="shared" ref="D44:H44" si="25">PI()*D43</f>
        <v>0</v>
      </c>
      <c r="E44" s="772">
        <f t="shared" si="25"/>
        <v>0</v>
      </c>
      <c r="F44" s="773">
        <f t="shared" si="25"/>
        <v>0</v>
      </c>
      <c r="G44" s="773">
        <f t="shared" si="25"/>
        <v>0</v>
      </c>
      <c r="H44" s="774">
        <f t="shared" si="25"/>
        <v>0</v>
      </c>
    </row>
    <row r="45" spans="1:8" ht="15" customHeight="1">
      <c r="A45" s="56" t="s">
        <v>460</v>
      </c>
      <c r="B45" s="57" t="s">
        <v>461</v>
      </c>
      <c r="C45" s="850">
        <f>PI()*C43^2/4</f>
        <v>0</v>
      </c>
      <c r="D45" s="851">
        <f t="shared" ref="D45:H45" si="26">PI()*D43^2/4</f>
        <v>0</v>
      </c>
      <c r="E45" s="851">
        <f t="shared" si="26"/>
        <v>0</v>
      </c>
      <c r="F45" s="852">
        <f t="shared" si="26"/>
        <v>0</v>
      </c>
      <c r="G45" s="852">
        <f t="shared" si="26"/>
        <v>0</v>
      </c>
      <c r="H45" s="853">
        <f t="shared" si="26"/>
        <v>0</v>
      </c>
    </row>
    <row r="46" spans="1:8" ht="15" customHeight="1">
      <c r="A46" s="56" t="s">
        <v>88</v>
      </c>
      <c r="B46" s="57" t="s">
        <v>5</v>
      </c>
      <c r="C46" s="858">
        <f>Tunneldaten!E31</f>
        <v>0</v>
      </c>
      <c r="D46" s="859">
        <f>Tunneldaten!F31</f>
        <v>0</v>
      </c>
      <c r="E46" s="859">
        <f>Tunneldaten!G31</f>
        <v>0</v>
      </c>
      <c r="F46" s="860">
        <f>Tunneldaten!H31</f>
        <v>0</v>
      </c>
      <c r="G46" s="860">
        <f>Tunneldaten!I31</f>
        <v>0</v>
      </c>
      <c r="H46" s="861">
        <f>Tunneldaten!J31</f>
        <v>0</v>
      </c>
    </row>
    <row r="47" spans="1:8" ht="15" customHeight="1">
      <c r="A47" s="84" t="s">
        <v>465</v>
      </c>
      <c r="B47" s="57" t="s">
        <v>461</v>
      </c>
      <c r="C47" s="858" t="e">
        <f>IF(Tunneldaten!$E$2="ES",$C68/1000000,$E68/1000000)</f>
        <v>#NUM!</v>
      </c>
      <c r="D47" s="859" t="e">
        <f>IF(Tunneldaten!$E$2="ES",$C68/1000000,$E68/1000000)</f>
        <v>#NUM!</v>
      </c>
      <c r="E47" s="859" t="e">
        <f>IF(Tunneldaten!$E$2="ES",$C68/1000000,$E68/1000000)</f>
        <v>#NUM!</v>
      </c>
      <c r="F47" s="860" t="e">
        <f>IF(Tunneldaten!$E$2="ES",$C68/1000000,$E68/1000000)</f>
        <v>#NUM!</v>
      </c>
      <c r="G47" s="860" t="e">
        <f>IF(Tunneldaten!$E$2="ES",$C68/1000000,$E68/1000000)</f>
        <v>#NUM!</v>
      </c>
      <c r="H47" s="861" t="e">
        <f>IF(Tunneldaten!$E$2="ES",$C68/1000000,$E68/1000000)</f>
        <v>#NUM!</v>
      </c>
    </row>
    <row r="48" spans="1:8" ht="15" customHeight="1">
      <c r="A48" s="84" t="s">
        <v>466</v>
      </c>
      <c r="B48" s="57" t="s">
        <v>461</v>
      </c>
      <c r="C48" s="775" t="e">
        <f>IF(Tunneldaten!$E$2="ES",$C72/1000000,$E72/1000000)</f>
        <v>#NUM!</v>
      </c>
      <c r="D48" s="776" t="e">
        <f>IF(Tunneldaten!$E$2="ES",$C72/1000000,$E72/1000000)</f>
        <v>#NUM!</v>
      </c>
      <c r="E48" s="776" t="e">
        <f>IF(Tunneldaten!$E$2="ES",$C72/1000000,$E72/1000000)</f>
        <v>#NUM!</v>
      </c>
      <c r="F48" s="777" t="e">
        <f>IF(Tunneldaten!$E$2="ES",$C72/1000000,$E72/1000000)</f>
        <v>#NUM!</v>
      </c>
      <c r="G48" s="777" t="e">
        <f>IF(Tunneldaten!$E$2="ES",$C72/1000000,$E72/1000000)</f>
        <v>#NUM!</v>
      </c>
      <c r="H48" s="778" t="e">
        <f>IF(Tunneldaten!$E$2="ES",$C72/1000000,$E72/1000000)</f>
        <v>#NUM!</v>
      </c>
    </row>
    <row r="49" spans="1:16" ht="15" customHeight="1">
      <c r="A49" s="84"/>
      <c r="B49" s="84"/>
      <c r="C49" s="84"/>
      <c r="D49" s="84"/>
      <c r="E49" s="84"/>
    </row>
    <row r="50" spans="1:16" ht="15" customHeight="1">
      <c r="A50" s="302" t="s">
        <v>467</v>
      </c>
      <c r="B50" s="57"/>
      <c r="C50" s="757" t="s">
        <v>214</v>
      </c>
      <c r="D50" s="84"/>
      <c r="E50" s="758" t="s">
        <v>20</v>
      </c>
      <c r="O50" s="47"/>
    </row>
    <row r="51" spans="1:16" ht="15" customHeight="1">
      <c r="A51" s="84" t="s">
        <v>623</v>
      </c>
      <c r="B51" s="639" t="s">
        <v>25</v>
      </c>
      <c r="C51" s="760">
        <f>Innendurchmesser/2-_b</f>
        <v>-150</v>
      </c>
      <c r="D51" s="759"/>
      <c r="E51" s="761">
        <f>Innendurchmesser/2-_b</f>
        <v>-150</v>
      </c>
      <c r="G51" s="46"/>
    </row>
    <row r="52" spans="1:16" ht="15" customHeight="1">
      <c r="A52" s="84" t="s">
        <v>468</v>
      </c>
      <c r="B52" s="639" t="s">
        <v>25</v>
      </c>
      <c r="C52" s="763" t="s">
        <v>5</v>
      </c>
      <c r="D52" s="762"/>
      <c r="E52" s="764">
        <f>Tunneldaten!E4</f>
        <v>0</v>
      </c>
      <c r="G52" s="46"/>
    </row>
    <row r="53" spans="1:16" ht="15" customHeight="1">
      <c r="A53" s="84" t="s">
        <v>469</v>
      </c>
      <c r="B53" s="639" t="s">
        <v>25</v>
      </c>
      <c r="C53" s="763">
        <f>ES_RInnen-_bFBP</f>
        <v>-1900</v>
      </c>
      <c r="D53" s="765"/>
      <c r="E53" s="763">
        <f>DS_RInnen-_bFBP-Gleisabstand/2</f>
        <v>-1900</v>
      </c>
      <c r="G53" s="46"/>
    </row>
    <row r="54" spans="1:16" ht="15" customHeight="1">
      <c r="A54" s="84" t="s">
        <v>470</v>
      </c>
      <c r="B54" s="639" t="s">
        <v>25</v>
      </c>
      <c r="C54" s="763" t="e">
        <f>2*SQRT(2*ES_RInnen*C$53-C$53^2)</f>
        <v>#NUM!</v>
      </c>
      <c r="D54" s="765"/>
      <c r="E54" s="763" t="e">
        <f>2*SQRT(2*DS_RInnen*E$53-E$53^2)</f>
        <v>#NUM!</v>
      </c>
      <c r="H54" s="1"/>
    </row>
    <row r="55" spans="1:16" ht="15" customHeight="1">
      <c r="A55" s="84" t="s">
        <v>471</v>
      </c>
      <c r="B55" s="639" t="s">
        <v>25</v>
      </c>
      <c r="C55" s="763" t="e">
        <f>C$54/2-_hFBP-_hEntwässerung</f>
        <v>#NUM!</v>
      </c>
      <c r="D55" s="765"/>
      <c r="E55" s="763" t="e">
        <f>E$54/2-_hFBP-_hEntwässerung</f>
        <v>#NUM!</v>
      </c>
      <c r="G55" s="262"/>
    </row>
    <row r="56" spans="1:16" ht="15" customHeight="1">
      <c r="A56" s="84" t="s">
        <v>472</v>
      </c>
      <c r="B56" s="639" t="s">
        <v>25</v>
      </c>
      <c r="C56" s="763">
        <f>_bLRP*2</f>
        <v>5830</v>
      </c>
      <c r="D56" s="766"/>
      <c r="E56" s="763">
        <f>_bLRP*2+Gleisabstand</f>
        <v>5830</v>
      </c>
    </row>
    <row r="57" spans="1:16" ht="15" customHeight="1">
      <c r="A57" s="84" t="s">
        <v>473</v>
      </c>
      <c r="B57" s="639" t="s">
        <v>25</v>
      </c>
      <c r="C57" s="763" t="e">
        <f>ES_RInnen-1/2*SQRT(4*ES_RInnen^2-$C$56^2)</f>
        <v>#NUM!</v>
      </c>
      <c r="D57" s="766"/>
      <c r="E57" s="764" t="e">
        <f>DS_RInnen-1/2*SQRT(4*DS_RInnen^2-$E$56^2)</f>
        <v>#NUM!</v>
      </c>
      <c r="H57" s="1032"/>
      <c r="I57" s="1032"/>
    </row>
    <row r="58" spans="1:16" ht="15" customHeight="1">
      <c r="A58" s="84" t="s">
        <v>474</v>
      </c>
      <c r="B58" s="639" t="s">
        <v>25</v>
      </c>
      <c r="C58" s="767" t="b">
        <f>ES_RInnen&gt;=3000</f>
        <v>0</v>
      </c>
      <c r="D58" s="768"/>
      <c r="E58" s="764" t="e">
        <f>DS_RInnen-$E$57+_hBankett</f>
        <v>#NUM!</v>
      </c>
      <c r="G58" t="s">
        <v>643</v>
      </c>
      <c r="K58" s="48"/>
    </row>
    <row r="59" spans="1:16" ht="15" customHeight="1">
      <c r="A59" s="84" t="s">
        <v>475</v>
      </c>
      <c r="B59" s="639" t="s">
        <v>25</v>
      </c>
      <c r="C59" s="763" t="e">
        <f>ROUND(MIN(C$58,C$55),0)</f>
        <v>#NUM!</v>
      </c>
      <c r="D59" s="766"/>
      <c r="E59" s="763" t="e">
        <f>ROUND(MIN(E$58,E$55),0)</f>
        <v>#NUM!</v>
      </c>
    </row>
    <row r="60" spans="1:16" ht="15" customHeight="1">
      <c r="A60" s="84" t="s">
        <v>476</v>
      </c>
      <c r="B60" s="639" t="s">
        <v>25</v>
      </c>
      <c r="C60" s="763">
        <f>ROUND(_hLRP-ES_RInnen,0)</f>
        <v>5750</v>
      </c>
      <c r="D60" s="766"/>
      <c r="E60" s="763">
        <f>ROUND(-0.1067*DS_RInnen+620,0)</f>
        <v>636</v>
      </c>
      <c r="G60" t="s">
        <v>477</v>
      </c>
      <c r="P60" s="262"/>
    </row>
    <row r="61" spans="1:16" ht="15" customHeight="1">
      <c r="A61" s="84" t="s">
        <v>478</v>
      </c>
      <c r="B61" s="639" t="s">
        <v>25</v>
      </c>
      <c r="C61" s="763">
        <f>ES_RInnen-(Tunneldaten!$E$7-_hBankett)</f>
        <v>200</v>
      </c>
      <c r="D61" s="766"/>
      <c r="E61" s="763">
        <f>DS_RInnen-(Tunneldaten!$E$7-_hBankett)</f>
        <v>200</v>
      </c>
    </row>
    <row r="62" spans="1:16" ht="15" customHeight="1">
      <c r="A62" s="84" t="s">
        <v>479</v>
      </c>
      <c r="B62" s="639" t="s">
        <v>25</v>
      </c>
      <c r="C62" s="763" t="e">
        <f>2*SQRT(2*ES_RInnen*C$61-C$61^2)</f>
        <v>#NUM!</v>
      </c>
      <c r="D62" s="766"/>
      <c r="E62" s="763" t="e">
        <f>2*SQRT(2*DS_RInnen*E$61-E$61^2)</f>
        <v>#NUM!</v>
      </c>
    </row>
    <row r="63" spans="1:16" ht="15" customHeight="1">
      <c r="A63" s="84" t="s">
        <v>480</v>
      </c>
      <c r="B63" s="639" t="s">
        <v>25</v>
      </c>
      <c r="C63" s="763" t="e">
        <f>2*ES_RInnen*ASIN(C$62/(2*ES_RInnen))</f>
        <v>#NUM!</v>
      </c>
      <c r="D63" s="766"/>
      <c r="E63" s="763" t="e">
        <f>2*DS_RInnen*ASIN(E$62/(2*DS_RInnen))</f>
        <v>#NUM!</v>
      </c>
      <c r="K63" s="48"/>
    </row>
    <row r="64" spans="1:16" ht="15" customHeight="1">
      <c r="A64" s="84" t="s">
        <v>481</v>
      </c>
      <c r="B64" s="639" t="s">
        <v>482</v>
      </c>
      <c r="C64" s="764" t="e">
        <f>PI()*ES_RInnen^2-(ES_RInnen*C$63/2-C$62*(ES_RInnen-C$61)/2)</f>
        <v>#NUM!</v>
      </c>
      <c r="D64" s="768"/>
      <c r="E64" s="764" t="e">
        <f>PI()*DS_RInnen^2-(DS_RInnen*E$63/2-E$62*(DS_RInnen-E$61)/2)</f>
        <v>#NUM!</v>
      </c>
      <c r="G64" s="262"/>
      <c r="L64" s="262"/>
    </row>
    <row r="65" spans="1:17" ht="15" customHeight="1">
      <c r="A65" s="84" t="s">
        <v>483</v>
      </c>
      <c r="B65" s="639" t="s">
        <v>482</v>
      </c>
      <c r="C65" s="764">
        <f>_hBankett*2*(_bFBP+15)</f>
        <v>1235500</v>
      </c>
      <c r="D65" s="768"/>
      <c r="E65" s="764">
        <f>_hBankett*2*(_bFBP+15+Gleisabstand/2)</f>
        <v>1235500</v>
      </c>
      <c r="F65" s="46"/>
      <c r="G65" t="s">
        <v>484</v>
      </c>
      <c r="J65" s="1"/>
      <c r="K65" s="262"/>
    </row>
    <row r="66" spans="1:17" ht="15" customHeight="1">
      <c r="A66" s="84" t="s">
        <v>485</v>
      </c>
      <c r="B66" s="639" t="s">
        <v>482</v>
      </c>
      <c r="C66" s="764" t="e">
        <f>(C$65+C$64)</f>
        <v>#NUM!</v>
      </c>
      <c r="D66" s="768"/>
      <c r="E66" s="764" t="e">
        <f>E$65+E$64</f>
        <v>#NUM!</v>
      </c>
      <c r="G66" s="258" t="s">
        <v>486</v>
      </c>
      <c r="H66" s="559" t="s">
        <v>487</v>
      </c>
      <c r="I66" s="560" t="b">
        <f>IF(Tunneldaten!$E$2="ES",$C66/1000000,IF(Tunneldaten!E4=0,FALSE,$E66/1000000))</f>
        <v>0</v>
      </c>
      <c r="J66" s="562" t="s">
        <v>488</v>
      </c>
      <c r="K66" s="561"/>
      <c r="Q66" s="47"/>
    </row>
    <row r="67" spans="1:17" ht="15" customHeight="1">
      <c r="A67" s="84" t="s">
        <v>489</v>
      </c>
      <c r="B67" s="639" t="s">
        <v>482</v>
      </c>
      <c r="C67" s="764">
        <f>_hFBP*(2*_bFBP)</f>
        <v>2450000</v>
      </c>
      <c r="D67" s="768"/>
      <c r="E67" s="764">
        <f>_hFBP*2*(_bFBP+Gleisabstand/2)</f>
        <v>2450000</v>
      </c>
    </row>
    <row r="68" spans="1:17" ht="15" customHeight="1">
      <c r="A68" s="84" t="s">
        <v>490</v>
      </c>
      <c r="B68" s="639" t="s">
        <v>482</v>
      </c>
      <c r="C68" s="764" t="e">
        <f>PI()*ES_RInnen^2-C$67-C$66</f>
        <v>#NUM!</v>
      </c>
      <c r="D68" s="768"/>
      <c r="E68" s="764" t="e">
        <f>PI()*DS_RInnen^2-E$67-E$66</f>
        <v>#NUM!</v>
      </c>
      <c r="G68" s="262"/>
      <c r="K68" s="48"/>
    </row>
    <row r="69" spans="1:17" ht="15" customHeight="1">
      <c r="A69" s="84" t="s">
        <v>491</v>
      </c>
      <c r="B69" s="639" t="s">
        <v>25</v>
      </c>
      <c r="C69" s="764">
        <f>ES_RInnen-(Tunneldaten!$E$7+750)</f>
        <v>-900</v>
      </c>
      <c r="D69" s="768"/>
      <c r="E69" s="764">
        <f>DS_RInnen-(Tunneldaten!$E$7+750)</f>
        <v>-900</v>
      </c>
      <c r="K69" s="48"/>
    </row>
    <row r="70" spans="1:17" ht="15" customHeight="1">
      <c r="A70" s="84" t="s">
        <v>492</v>
      </c>
      <c r="B70" s="639" t="s">
        <v>25</v>
      </c>
      <c r="C70" s="764" t="e">
        <f>2*SQRT(2*ES_RInnen*C$69-C$69^2)</f>
        <v>#NUM!</v>
      </c>
      <c r="D70" s="768"/>
      <c r="E70" s="764" t="e">
        <f>2*SQRT(2*DS_RInnen*E$69-E$69^2)</f>
        <v>#NUM!</v>
      </c>
      <c r="K70" s="48"/>
    </row>
    <row r="71" spans="1:17" ht="15" customHeight="1">
      <c r="A71" s="84" t="s">
        <v>493</v>
      </c>
      <c r="B71" s="639" t="s">
        <v>25</v>
      </c>
      <c r="C71" s="764" t="e">
        <f>2*ES_RInnen*ASIN(C$70/(2*ES_RInnen))</f>
        <v>#NUM!</v>
      </c>
      <c r="D71" s="768"/>
      <c r="E71" s="764" t="e">
        <f>2*DS_RInnen*ASIN(E$70/(2*DS_RInnen))</f>
        <v>#NUM!</v>
      </c>
      <c r="K71" s="48"/>
    </row>
    <row r="72" spans="1:17" ht="15" customHeight="1">
      <c r="A72" s="84" t="s">
        <v>466</v>
      </c>
      <c r="B72" s="639" t="s">
        <v>482</v>
      </c>
      <c r="C72" s="769" t="e">
        <f>C68-(ES_RInnen*C$71/2-C$70*(ES_RInnen-C$69)/2)</f>
        <v>#NUM!</v>
      </c>
      <c r="D72" s="770"/>
      <c r="E72" s="769" t="e">
        <f>IF(E68-(DS_RInnen*E$71/2-E$70*(DS_RInnen-E$69)/2)&lt;0,0,E68-(DS_RInnen*E$71/2-E$70*(DS_RInnen-E$69)/2))</f>
        <v>#NUM!</v>
      </c>
      <c r="G72" s="262"/>
    </row>
    <row r="73" spans="1:17" ht="15" customHeight="1">
      <c r="A73" s="84"/>
      <c r="B73" s="84"/>
      <c r="C73" s="84"/>
      <c r="D73" s="84"/>
      <c r="E73" s="84"/>
    </row>
    <row r="74" spans="1:17" ht="15" customHeight="1">
      <c r="A74" s="84"/>
      <c r="B74" s="84"/>
      <c r="C74" s="84"/>
      <c r="D74" s="84"/>
      <c r="E74" s="84"/>
    </row>
    <row r="75" spans="1:17" ht="15" customHeight="1">
      <c r="A75" s="84"/>
      <c r="B75" s="84"/>
      <c r="C75" s="84"/>
      <c r="D75" s="84"/>
      <c r="E75" s="84"/>
    </row>
    <row r="76" spans="1:17" ht="15" customHeight="1">
      <c r="A76" s="84"/>
      <c r="B76" s="84"/>
      <c r="C76" s="84"/>
      <c r="D76" s="84"/>
      <c r="E76" s="84"/>
    </row>
    <row r="77" spans="1:17" ht="15" customHeight="1">
      <c r="A77" s="84"/>
      <c r="B77" s="84"/>
      <c r="C77" s="84"/>
      <c r="D77" s="84"/>
      <c r="E77" s="84"/>
    </row>
    <row r="78" spans="1:17" ht="15" customHeight="1">
      <c r="A78" s="84"/>
      <c r="B78" s="84"/>
      <c r="C78" s="84"/>
      <c r="D78" s="84"/>
      <c r="E78" s="84"/>
    </row>
    <row r="79" spans="1:17" ht="15" customHeight="1">
      <c r="A79" s="84"/>
      <c r="B79" s="84"/>
      <c r="C79" s="84"/>
      <c r="D79" s="84"/>
      <c r="E79" s="84"/>
    </row>
    <row r="80" spans="1:17" ht="15" customHeight="1">
      <c r="A80" s="84"/>
      <c r="B80" s="84"/>
      <c r="C80" s="84"/>
      <c r="D80" s="84"/>
      <c r="E80" s="84"/>
    </row>
    <row r="81" spans="1:5" ht="15" customHeight="1">
      <c r="A81" s="84"/>
      <c r="B81" s="84"/>
      <c r="C81" s="84"/>
      <c r="D81" s="84"/>
      <c r="E81" s="84"/>
    </row>
  </sheetData>
  <sheetProtection algorithmName="SHA-512" hashValue="GAFVtNcsAEXOrv4LdEEyTg1AvHzIvsFpqXCGlRumgww3W4AeX++8wZmsZII4lH6pHgWVi9SeglNOJ78/3k6Krg==" saltValue="WYOOIBiW78mFQWK831gfAA==" spinCount="100000" sheet="1" objects="1" scenarios="1"/>
  <mergeCells count="2">
    <mergeCell ref="H57:I57"/>
    <mergeCell ref="A1:C1"/>
  </mergeCells>
  <phoneticPr fontId="4" type="noConversion"/>
  <conditionalFormatting sqref="D4:D22 D25:D48">
    <cfRule type="expression" dxfId="13" priority="8">
      <formula>$D$3=""</formula>
    </cfRule>
  </conditionalFormatting>
  <conditionalFormatting sqref="E4:E22 E25:E48">
    <cfRule type="expression" dxfId="12" priority="7">
      <formula>$E$3=""</formula>
    </cfRule>
  </conditionalFormatting>
  <conditionalFormatting sqref="F4:F22 F25:F48">
    <cfRule type="expression" dxfId="11" priority="6">
      <formula>$F$3=""</formula>
    </cfRule>
  </conditionalFormatting>
  <conditionalFormatting sqref="G4:G22 G25:G48">
    <cfRule type="expression" dxfId="10" priority="5">
      <formula>$G$3=""</formula>
    </cfRule>
  </conditionalFormatting>
  <conditionalFormatting sqref="H4:H22 H25:H48">
    <cfRule type="expression" dxfId="9" priority="4">
      <formula>$H$3=""</formula>
    </cfRule>
  </conditionalFormatting>
  <pageMargins left="0.7" right="0.7" top="0.78740157499999996" bottom="0.78740157499999996" header="0.3" footer="0.3"/>
  <pageSetup paperSize="9" orientation="portrait" horizontalDpi="300" verticalDpi="0" r:id="rId1"/>
  <extLst>
    <ext xmlns:x14="http://schemas.microsoft.com/office/spreadsheetml/2009/9/main" uri="{78C0D931-6437-407d-A8EE-F0AAD7539E65}">
      <x14:conditionalFormattings>
        <x14:conditionalFormatting xmlns:xm="http://schemas.microsoft.com/office/excel/2006/main">
          <x14:cfRule type="expression" priority="3" id="{909CC1F5-3DCE-48E2-B1FD-998AC303066B}">
            <xm:f>Tunneldaten!$E$2="DS"</xm:f>
            <x14:dxf>
              <font>
                <color theme="0" tint="-0.34998626667073579"/>
              </font>
            </x14:dxf>
          </x14:cfRule>
          <xm:sqref>C50:C72</xm:sqref>
        </x14:conditionalFormatting>
        <x14:conditionalFormatting xmlns:xm="http://schemas.microsoft.com/office/excel/2006/main">
          <x14:cfRule type="expression" priority="2" id="{90C0B66F-D788-4D3C-9AEF-B493324D7CD7}">
            <xm:f>Tunneldaten!$E$2="ES"</xm:f>
            <x14:dxf>
              <font>
                <color theme="0" tint="-0.34998626667073579"/>
              </font>
            </x14:dxf>
          </x14:cfRule>
          <xm:sqref>E50:E72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408974c-8a99-4acc-aad8-79ec12640f71" xsi:nil="true"/>
    <lcf76f155ced4ddcb4097134ff3c332f xmlns="9dbce80a-30a0-47f5-8837-812430a66be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3F01F0068D2041BD0C1224FDBF9D7B" ma:contentTypeVersion="15" ma:contentTypeDescription="Create a new document." ma:contentTypeScope="" ma:versionID="7f84412afe478dc50c342f75a93dbd17">
  <xsd:schema xmlns:xsd="http://www.w3.org/2001/XMLSchema" xmlns:xs="http://www.w3.org/2001/XMLSchema" xmlns:p="http://schemas.microsoft.com/office/2006/metadata/properties" xmlns:ns2="9dbce80a-30a0-47f5-8837-812430a66bee" xmlns:ns3="b408974c-8a99-4acc-aad8-79ec12640f71" targetNamespace="http://schemas.microsoft.com/office/2006/metadata/properties" ma:root="true" ma:fieldsID="00397beec6fe2fe7481326250865de2b" ns2:_="" ns3:_="">
    <xsd:import namespace="9dbce80a-30a0-47f5-8837-812430a66bee"/>
    <xsd:import namespace="b408974c-8a99-4acc-aad8-79ec12640f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bce80a-30a0-47f5-8837-812430a66b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483a60f-3d25-42ae-b010-69d7fed137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08974c-8a99-4acc-aad8-79ec12640f7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8fbc63-0c8b-41f2-b9f8-7376b3cd29d4}" ma:internalName="TaxCatchAll" ma:showField="CatchAllData" ma:web="b408974c-8a99-4acc-aad8-79ec12640f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77C9ED-9B3D-4990-8804-D45E4A9591E6}">
  <ds:schemaRefs>
    <ds:schemaRef ds:uri="http://www.w3.org/XML/1998/namespace"/>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9dbce80a-30a0-47f5-8837-812430a66bee"/>
    <ds:schemaRef ds:uri="b408974c-8a99-4acc-aad8-79ec12640f71"/>
    <ds:schemaRef ds:uri="http://purl.org/dc/dcmitype/"/>
    <ds:schemaRef ds:uri="http://purl.org/dc/terms/"/>
  </ds:schemaRefs>
</ds:datastoreItem>
</file>

<file path=customXml/itemProps2.xml><?xml version="1.0" encoding="utf-8"?>
<ds:datastoreItem xmlns:ds="http://schemas.openxmlformats.org/officeDocument/2006/customXml" ds:itemID="{FD4CC301-93EF-49ED-971B-6260DDA33A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bce80a-30a0-47f5-8837-812430a66bee"/>
    <ds:schemaRef ds:uri="b408974c-8a99-4acc-aad8-79ec12640f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241980-F550-47F3-97CE-DEFDD7A046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33</vt:i4>
      </vt:variant>
    </vt:vector>
  </HeadingPairs>
  <TitlesOfParts>
    <vt:vector size="54" baseType="lpstr">
      <vt:lpstr>readme</vt:lpstr>
      <vt:lpstr>Tunneldaten</vt:lpstr>
      <vt:lpstr>Betriebsdaten</vt:lpstr>
      <vt:lpstr>Ergebnisse</vt:lpstr>
      <vt:lpstr>Ergebnisvergleich</vt:lpstr>
      <vt:lpstr>HilfstabelleDiskontierung</vt:lpstr>
      <vt:lpstr>Listen</vt:lpstr>
      <vt:lpstr>Parameter</vt:lpstr>
      <vt:lpstr>Bau-Geometrie</vt:lpstr>
      <vt:lpstr>Baukosten</vt:lpstr>
      <vt:lpstr>Baukosten-MUF</vt:lpstr>
      <vt:lpstr>Baukosten-MUL</vt:lpstr>
      <vt:lpstr>Baukosten-SM</vt:lpstr>
      <vt:lpstr>Baukosten-SPV</vt:lpstr>
      <vt:lpstr>Baukosten-TBM</vt:lpstr>
      <vt:lpstr>Traktionsenergie</vt:lpstr>
      <vt:lpstr>Energie</vt:lpstr>
      <vt:lpstr>Energie-Baustoffe</vt:lpstr>
      <vt:lpstr>Energie-Bauprozesse</vt:lpstr>
      <vt:lpstr>Energie-Transport</vt:lpstr>
      <vt:lpstr>Transport</vt:lpstr>
      <vt:lpstr>_b</vt:lpstr>
      <vt:lpstr>HilfstabelleDiskontierung!_bFBP</vt:lpstr>
      <vt:lpstr>_bFBP</vt:lpstr>
      <vt:lpstr>HilfstabelleDiskontierung!_bLRP</vt:lpstr>
      <vt:lpstr>_bLRP</vt:lpstr>
      <vt:lpstr>HilfstabelleDiskontierung!_hBankett</vt:lpstr>
      <vt:lpstr>_hBankett</vt:lpstr>
      <vt:lpstr>HilfstabelleDiskontierung!_hEntwässerung</vt:lpstr>
      <vt:lpstr>_hEntwässerung</vt:lpstr>
      <vt:lpstr>HilfstabelleDiskontierung!_hFBP</vt:lpstr>
      <vt:lpstr>_hFBP</vt:lpstr>
      <vt:lpstr>HilfstabelleDiskontierung!_hLRP</vt:lpstr>
      <vt:lpstr>_hLRP</vt:lpstr>
      <vt:lpstr>HilfstabelleDiskontierung!AnzahlRöhren</vt:lpstr>
      <vt:lpstr>AnzahlRöhren</vt:lpstr>
      <vt:lpstr>BahnstrompreisZunahmeJahr</vt:lpstr>
      <vt:lpstr>HilfstabelleDiskontierung!BetonZuschlagstoffe</vt:lpstr>
      <vt:lpstr>BetonZuschlagstoffe</vt:lpstr>
      <vt:lpstr>HilfstabelleDiskontierung!Betriebsjahre</vt:lpstr>
      <vt:lpstr>Betriebsjahre</vt:lpstr>
      <vt:lpstr>HilfstabelleDiskontierung!Betriebsjahre_Default</vt:lpstr>
      <vt:lpstr>Betriebsjahre_Default</vt:lpstr>
      <vt:lpstr>Diskontrate</vt:lpstr>
      <vt:lpstr>HilfstabelleDiskontierung!DS_RInnen</vt:lpstr>
      <vt:lpstr>DS_RInnen</vt:lpstr>
      <vt:lpstr>HilfstabelleDiskontierung!ES_RInnen</vt:lpstr>
      <vt:lpstr>ES_RInnen</vt:lpstr>
      <vt:lpstr>HilfstabelleDiskontierung!Fae</vt:lpstr>
      <vt:lpstr>Fae</vt:lpstr>
      <vt:lpstr>HilfstabelleDiskontierung!Gleisabstand</vt:lpstr>
      <vt:lpstr>Gleisabstand</vt:lpstr>
      <vt:lpstr>HilfstabelleDiskontierung!Innendurchmesser</vt:lpstr>
      <vt:lpstr>Innendurchmesser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2021-09-16T12:01:00Z</dcterms:created>
  <dcterms:modified xsi:type="dcterms:W3CDTF">2023-09-12T12:41:04Z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0x010100C93F01F0068D2041BD0C1224FDBF9D7B</vt:lpwstr>
  </property>
  <property fmtid="{D5CDD505-2E9C-101B-9397-08002B2CF9AE}" pid="3" name="MediaServiceImageTags">
    <vt:lpwstr/>
  </property>
</Properties>
</file>