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FI\vs\634_BehiG\1_Strg_300Mio\03 Umsetzungskonzept\03.05 Dateien fürs Internet\"/>
    </mc:Choice>
  </mc:AlternateContent>
  <xr:revisionPtr revIDLastSave="0" documentId="8_{C6ABF87D-DAE9-462F-8B5B-34BA7CCFC960}" xr6:coauthVersionLast="47" xr6:coauthVersionMax="47" xr10:uidLastSave="{00000000-0000-0000-0000-000000000000}"/>
  <bookViews>
    <workbookView xWindow="-108" yWindow="-108" windowWidth="20376" windowHeight="12216" tabRatio="476" xr2:uid="{00000000-000D-0000-FFFF-FFFF00000000}"/>
  </bookViews>
  <sheets>
    <sheet name="Fahrzeuge" sheetId="1" r:id="rId1"/>
    <sheet name="Legende deutsch" sheetId="2" r:id="rId2"/>
    <sheet name="Légende en français" sheetId="3" r:id="rId3"/>
  </sheets>
  <definedNames>
    <definedName name="_xlnm._FilterDatabase" localSheetId="0" hidden="1">Fahrzeuge!$M$1:$M$253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2" i="1" l="1"/>
  <c r="P12" i="1"/>
  <c r="AJ167" i="1" l="1"/>
  <c r="L167" i="1" s="1"/>
  <c r="K167" i="1" s="1"/>
  <c r="Z194" i="1" l="1"/>
  <c r="L194" i="1" s="1"/>
  <c r="K194" i="1" s="1"/>
  <c r="Z193" i="1"/>
  <c r="L193" i="1" s="1"/>
  <c r="K193" i="1" s="1"/>
  <c r="AK163" i="1" l="1"/>
  <c r="L163" i="1" s="1"/>
  <c r="K163" i="1" s="1"/>
  <c r="AH53" i="1" l="1"/>
  <c r="L53" i="1" s="1"/>
  <c r="K53" i="1" s="1"/>
  <c r="AJ173" i="1" l="1"/>
  <c r="AJ168" i="1"/>
  <c r="L168" i="1" s="1"/>
  <c r="K168" i="1" s="1"/>
  <c r="AJ165" i="1"/>
  <c r="AH52" i="1" l="1"/>
  <c r="J161" i="1" l="1"/>
  <c r="J138" i="1" l="1"/>
  <c r="J137" i="1"/>
  <c r="N137" i="1" s="1"/>
  <c r="Y137" i="1"/>
  <c r="L137" i="1" l="1"/>
  <c r="K137" i="1" s="1"/>
  <c r="AM161" i="1"/>
  <c r="N161" i="1"/>
  <c r="L161" i="1" l="1"/>
  <c r="K161" i="1" s="1"/>
  <c r="AM160" i="1"/>
  <c r="AG160" i="1"/>
  <c r="AD160" i="1"/>
  <c r="AC160" i="1"/>
  <c r="W160" i="1"/>
  <c r="P160" i="1"/>
  <c r="N160" i="1"/>
  <c r="AM159" i="1"/>
  <c r="AG159" i="1"/>
  <c r="AD159" i="1"/>
  <c r="AC159" i="1"/>
  <c r="W159" i="1"/>
  <c r="P159" i="1"/>
  <c r="N159" i="1"/>
  <c r="L52" i="1" l="1"/>
  <c r="K52" i="1" s="1"/>
  <c r="L160" i="1" l="1"/>
  <c r="K160" i="1" s="1"/>
  <c r="W129" i="1"/>
  <c r="L129" i="1" s="1"/>
  <c r="K129" i="1" s="1"/>
  <c r="AJ60" i="1" l="1"/>
  <c r="L60" i="1" s="1"/>
  <c r="K60" i="1" s="1"/>
  <c r="AJ59" i="1"/>
  <c r="L59" i="1" s="1"/>
  <c r="K59" i="1" s="1"/>
  <c r="AM158" i="1" l="1"/>
  <c r="AG158" i="1"/>
  <c r="AD158" i="1"/>
  <c r="AC158" i="1"/>
  <c r="W158" i="1"/>
  <c r="P158" i="1"/>
  <c r="N158" i="1"/>
  <c r="X48" i="1"/>
  <c r="X47" i="1"/>
  <c r="Q48" i="1"/>
  <c r="Q47" i="1"/>
  <c r="Z47" i="1"/>
  <c r="Z48" i="1"/>
  <c r="L158" i="1" l="1"/>
  <c r="K158" i="1" s="1"/>
  <c r="N138" i="1" l="1"/>
  <c r="Y138" i="1"/>
  <c r="L159" i="1" l="1"/>
  <c r="K159" i="1" s="1"/>
  <c r="AM157" i="1" l="1"/>
  <c r="AM156" i="1"/>
  <c r="AG157" i="1"/>
  <c r="AG156" i="1"/>
  <c r="AD157" i="1"/>
  <c r="AD156" i="1"/>
  <c r="AC157" i="1"/>
  <c r="AC156" i="1"/>
  <c r="W157" i="1"/>
  <c r="W156" i="1"/>
  <c r="P157" i="1"/>
  <c r="P156" i="1"/>
  <c r="N157" i="1"/>
  <c r="N156" i="1"/>
  <c r="AJ179" i="1" l="1"/>
  <c r="L179" i="1" s="1"/>
  <c r="K179" i="1" s="1"/>
  <c r="L157" i="1" l="1"/>
  <c r="K157" i="1" s="1"/>
  <c r="AC11" i="1"/>
  <c r="P11" i="1"/>
  <c r="O11" i="1"/>
  <c r="L11" i="1" l="1"/>
  <c r="K11" i="1" s="1"/>
  <c r="L156" i="1" l="1"/>
  <c r="K156" i="1" s="1"/>
  <c r="Z192" i="1"/>
  <c r="Z191" i="1"/>
  <c r="AJ181" i="1"/>
  <c r="AJ180" i="1"/>
  <c r="AC10" i="1" l="1"/>
  <c r="P10" i="1"/>
  <c r="O10" i="1"/>
  <c r="R223" i="1" l="1"/>
  <c r="L192" i="1" l="1"/>
  <c r="K192" i="1" s="1"/>
  <c r="L191" i="1"/>
  <c r="K191" i="1" s="1"/>
  <c r="Q84" i="1" l="1"/>
  <c r="L84" i="1" s="1"/>
  <c r="K84" i="1" s="1"/>
  <c r="AJ189" i="1"/>
  <c r="AJ102" i="1"/>
  <c r="L102" i="1" s="1"/>
  <c r="K102" i="1" s="1"/>
  <c r="AK171" i="1"/>
  <c r="AJ171" i="1"/>
  <c r="AK170" i="1"/>
  <c r="AJ170" i="1"/>
  <c r="AJ114" i="1"/>
  <c r="L114" i="1" s="1"/>
  <c r="K114" i="1" s="1"/>
  <c r="AJ113" i="1"/>
  <c r="L113" i="1" s="1"/>
  <c r="K113" i="1" s="1"/>
  <c r="L181" i="1"/>
  <c r="K181" i="1" s="1"/>
  <c r="L180" i="1"/>
  <c r="K180" i="1" s="1"/>
  <c r="Q49" i="1"/>
  <c r="X49" i="1"/>
  <c r="Z49" i="1"/>
  <c r="W127" i="1"/>
  <c r="L127" i="1" s="1"/>
  <c r="K127" i="1" s="1"/>
  <c r="S5" i="1"/>
  <c r="U5" i="1"/>
  <c r="AA5" i="1"/>
  <c r="AB5" i="1"/>
  <c r="AE5" i="1"/>
  <c r="AH5" i="1"/>
  <c r="AM151" i="1"/>
  <c r="AJ176" i="1"/>
  <c r="L176" i="1"/>
  <c r="K176" i="1"/>
  <c r="W124" i="1"/>
  <c r="L124" i="1" s="1"/>
  <c r="K124" i="1" s="1"/>
  <c r="W126" i="1"/>
  <c r="L126" i="1" s="1"/>
  <c r="K126" i="1" s="1"/>
  <c r="W128" i="1"/>
  <c r="L128" i="1" s="1"/>
  <c r="K128" i="1" s="1"/>
  <c r="W125" i="1"/>
  <c r="L125" i="1" s="1"/>
  <c r="K125" i="1" s="1"/>
  <c r="AK116" i="1"/>
  <c r="L116" i="1" s="1"/>
  <c r="K116" i="1" s="1"/>
  <c r="Q15" i="1"/>
  <c r="L15" i="1" s="1"/>
  <c r="K15" i="1" s="1"/>
  <c r="W82" i="1"/>
  <c r="AI82" i="1"/>
  <c r="AK82" i="1"/>
  <c r="AK81" i="1"/>
  <c r="AI81" i="1"/>
  <c r="W81" i="1"/>
  <c r="AK80" i="1"/>
  <c r="AI80" i="1"/>
  <c r="W80" i="1"/>
  <c r="AK79" i="1"/>
  <c r="AI79" i="1"/>
  <c r="W79" i="1"/>
  <c r="AG56" i="1"/>
  <c r="AC56" i="1"/>
  <c r="Q16" i="1"/>
  <c r="L16" i="1" s="1"/>
  <c r="K16" i="1" s="1"/>
  <c r="Q14" i="1"/>
  <c r="L14" i="1" s="1"/>
  <c r="K14" i="1" s="1"/>
  <c r="AG55" i="1"/>
  <c r="AC55" i="1"/>
  <c r="AM144" i="1"/>
  <c r="L144" i="1" s="1"/>
  <c r="K144" i="1" s="1"/>
  <c r="AM143" i="1"/>
  <c r="L143" i="1" s="1"/>
  <c r="K143" i="1" s="1"/>
  <c r="L26" i="1"/>
  <c r="Q27" i="1"/>
  <c r="T27" i="1"/>
  <c r="Z27" i="1"/>
  <c r="AJ27" i="1"/>
  <c r="Q28" i="1"/>
  <c r="T28" i="1"/>
  <c r="Z28" i="1"/>
  <c r="AJ28" i="1"/>
  <c r="Q29" i="1"/>
  <c r="T29" i="1"/>
  <c r="Z29" i="1"/>
  <c r="AJ29" i="1"/>
  <c r="Q30" i="1"/>
  <c r="T30" i="1"/>
  <c r="Z30" i="1"/>
  <c r="AJ30" i="1"/>
  <c r="Q31" i="1"/>
  <c r="L31" i="1" s="1"/>
  <c r="K31" i="1" s="1"/>
  <c r="Q32" i="1"/>
  <c r="L32" i="1" s="1"/>
  <c r="K32" i="1" s="1"/>
  <c r="Q33" i="1"/>
  <c r="L33" i="1" s="1"/>
  <c r="K33" i="1" s="1"/>
  <c r="L38" i="1"/>
  <c r="L39" i="1"/>
  <c r="AC57" i="1"/>
  <c r="AG57" i="1"/>
  <c r="AJ62" i="1"/>
  <c r="L62" i="1" s="1"/>
  <c r="K62" i="1" s="1"/>
  <c r="L64" i="1"/>
  <c r="L65" i="1"/>
  <c r="Q86" i="1"/>
  <c r="T86" i="1"/>
  <c r="AJ86" i="1"/>
  <c r="Q87" i="1"/>
  <c r="T87" i="1"/>
  <c r="AJ87" i="1"/>
  <c r="Q88" i="1"/>
  <c r="T88" i="1"/>
  <c r="AJ88" i="1"/>
  <c r="Q118" i="1"/>
  <c r="L118" i="1" s="1"/>
  <c r="K118" i="1" s="1"/>
  <c r="Q119" i="1"/>
  <c r="L119" i="1" s="1"/>
  <c r="K119" i="1" s="1"/>
  <c r="Q120" i="1"/>
  <c r="L120" i="1" s="1"/>
  <c r="K120" i="1" s="1"/>
  <c r="L123" i="1"/>
  <c r="N133" i="1"/>
  <c r="V133" i="1"/>
  <c r="AC133" i="1"/>
  <c r="AD133" i="1"/>
  <c r="AF133" i="1"/>
  <c r="AG133" i="1"/>
  <c r="AL133" i="1"/>
  <c r="AM133" i="1"/>
  <c r="N134" i="1"/>
  <c r="V134" i="1"/>
  <c r="AC134" i="1"/>
  <c r="AD134" i="1"/>
  <c r="AF134" i="1"/>
  <c r="AG134" i="1"/>
  <c r="AL134" i="1"/>
  <c r="AM134" i="1"/>
  <c r="N135" i="1"/>
  <c r="V135" i="1"/>
  <c r="AC135" i="1"/>
  <c r="AD135" i="1"/>
  <c r="AF135" i="1"/>
  <c r="AG135" i="1"/>
  <c r="AL135" i="1"/>
  <c r="AM135" i="1"/>
  <c r="N136" i="1"/>
  <c r="V136" i="1"/>
  <c r="AC136" i="1"/>
  <c r="AD136" i="1"/>
  <c r="AF136" i="1"/>
  <c r="AG136" i="1"/>
  <c r="AL136" i="1"/>
  <c r="AM136" i="1"/>
  <c r="J132" i="1"/>
  <c r="K26" i="1"/>
  <c r="K38" i="1"/>
  <c r="K39" i="1"/>
  <c r="K64" i="1"/>
  <c r="K65" i="1"/>
  <c r="K86" i="1"/>
  <c r="K87" i="1"/>
  <c r="K88" i="1"/>
  <c r="K123" i="1"/>
  <c r="AL253" i="1"/>
  <c r="L253" i="1" s="1"/>
  <c r="K253" i="1" s="1"/>
  <c r="Q26" i="1"/>
  <c r="Q38" i="1"/>
  <c r="Q39" i="1"/>
  <c r="Q225" i="1"/>
  <c r="Q227" i="1"/>
  <c r="T26" i="1"/>
  <c r="W64" i="1"/>
  <c r="W65" i="1"/>
  <c r="W123" i="1"/>
  <c r="Z26" i="1"/>
  <c r="Z201" i="1"/>
  <c r="Z202" i="1"/>
  <c r="Z208" i="1"/>
  <c r="AI64" i="1"/>
  <c r="AI65" i="1"/>
  <c r="AJ26" i="1"/>
  <c r="AJ109" i="1"/>
  <c r="AJ183" i="1"/>
  <c r="L183" i="1" s="1"/>
  <c r="K183" i="1" s="1"/>
  <c r="AK64" i="1"/>
  <c r="AK65" i="1"/>
  <c r="V5" i="1" l="1"/>
  <c r="L135" i="1"/>
  <c r="J135" i="1" s="1"/>
  <c r="L171" i="1"/>
  <c r="K171" i="1" s="1"/>
  <c r="L10" i="1"/>
  <c r="Y5" i="1"/>
  <c r="X5" i="1"/>
  <c r="L57" i="1"/>
  <c r="K57" i="1" s="1"/>
  <c r="L80" i="1"/>
  <c r="K80" i="1" s="1"/>
  <c r="W5" i="1"/>
  <c r="N5" i="1"/>
  <c r="T5" i="1"/>
  <c r="AI5" i="1"/>
  <c r="L27" i="1"/>
  <c r="K27" i="1" s="1"/>
  <c r="AC5" i="1"/>
  <c r="L29" i="1"/>
  <c r="K29" i="1" s="1"/>
  <c r="L55" i="1"/>
  <c r="K55" i="1" s="1"/>
  <c r="L47" i="1"/>
  <c r="K47" i="1" s="1"/>
  <c r="L49" i="1"/>
  <c r="K49" i="1" s="1"/>
  <c r="L48" i="1"/>
  <c r="K48" i="1" s="1"/>
  <c r="AK5" i="1"/>
  <c r="AF5" i="1"/>
  <c r="L30" i="1"/>
  <c r="K30" i="1" s="1"/>
  <c r="L28" i="1"/>
  <c r="K28" i="1" s="1"/>
  <c r="L56" i="1"/>
  <c r="K56" i="1" s="1"/>
  <c r="L79" i="1"/>
  <c r="K79" i="1" s="1"/>
  <c r="R5" i="1"/>
  <c r="O5" i="1"/>
  <c r="P5" i="1"/>
  <c r="L170" i="1"/>
  <c r="K170" i="1" s="1"/>
  <c r="Z5" i="1"/>
  <c r="L81" i="1"/>
  <c r="K81" i="1" s="1"/>
  <c r="AM5" i="1"/>
  <c r="L86" i="1"/>
  <c r="AJ5" i="1"/>
  <c r="L87" i="1"/>
  <c r="AD5" i="1"/>
  <c r="L133" i="1"/>
  <c r="J133" i="1" s="1"/>
  <c r="Q5" i="1"/>
  <c r="L136" i="1"/>
  <c r="J136" i="1" s="1"/>
  <c r="L134" i="1"/>
  <c r="J134" i="1" s="1"/>
  <c r="AL5" i="1"/>
  <c r="L88" i="1"/>
  <c r="L138" i="1"/>
  <c r="K138" i="1" s="1"/>
  <c r="AG5" i="1"/>
  <c r="J5" i="1" l="1"/>
  <c r="K10" i="1"/>
  <c r="K5" i="1" s="1"/>
  <c r="L5" i="1"/>
</calcChain>
</file>

<file path=xl/sharedStrings.xml><?xml version="1.0" encoding="utf-8"?>
<sst xmlns="http://schemas.openxmlformats.org/spreadsheetml/2006/main" count="1544" uniqueCount="542">
  <si>
    <t>Insg. 8 neue Niederflur-Doppelstockwagen. S. Spalte "Bemerkungen"</t>
  </si>
  <si>
    <r>
      <t xml:space="preserve">SZU: 2008: Beschaffung 2 Doppelstockeinheiten. 2008-2012: Beschaffung von Niederflur-Doppelstockwagen abhängig von SBB-Bestellung
Niveaugleicher Einstieg ab P55 nur mit neuen Niederflur-Doppelstockwagen möglich Spaltüberbrückung erfordert zB. Schiebetritt
</t>
    </r>
    <r>
      <rPr>
        <sz val="10"/>
        <color indexed="10"/>
        <rFont val="Arial"/>
        <family val="2"/>
      </rPr>
      <t>BAV: Siehe Zeile "Insg. 8 neue Niederflur-Doppelstockwagen"</t>
    </r>
  </si>
  <si>
    <t>Schlüssel Kantons-beteiligung ab 2008</t>
  </si>
  <si>
    <t>Schlüssel Kantons-beteiligung bis 2007</t>
  </si>
  <si>
    <t>BAV: Werden an BLS verkauft. Eintrag siehe dort.</t>
  </si>
  <si>
    <t>2008-2010: insg. 9</t>
  </si>
  <si>
    <t>2008-2013: insg. 115 Komp.</t>
  </si>
  <si>
    <t>ZBB</t>
  </si>
  <si>
    <t>Vorzeitige Neubeschaffung der beiden Seilbahnwagen</t>
  </si>
  <si>
    <t>insgesamt 54 (2007-2011)</t>
  </si>
  <si>
    <t>insgesamt 5 (2009-2011)</t>
  </si>
  <si>
    <t>Doppelgelenk-Tramwagen BE 4/8 81-89 ("Tram 2000"): Einbau Sänfte</t>
  </si>
  <si>
    <t>BDkt 2231: 2030; BDkt 2232: 2030; BDkt 2233: 2035; BDk 2235: 2030; BDk 2236: 2030; BDk 2237: 2035</t>
  </si>
  <si>
    <t xml:space="preserve">2013,2025; 2011,2023; 2014,2026; 2005,2017; 2012,2024; 2014,2026; </t>
  </si>
  <si>
    <t>BLM: Mobilifts 34'500, Stufen und Trittkanten markiert 3'450, Blendfreie Beleuchtung, Taster für Türöffnung (und Haltanforderung), Netzplan, türnahes Abteil mit Priorität für Behinderte kennzeichnen, optische Information im Fahrzeug: 65'550
BAV: Die BDe 4/4 müssen bis 2023 ohnehin altershalber ersetzt sein; Anpassungen an der Infrastruktur (Perronerhöhungen) im Hinblick auf die Nachfolge der BDe 4/4. Massnahmen betr. Kundeninformation, Billettautomaten, Türöffnungsdrücker, Beleuchtung etc. nicht durch BehiG-ZR unterstützt (--&gt; ordentliche Finanzierung)</t>
  </si>
  <si>
    <t>B 4273: 2025, B 4274: 2025, B 4275: 2025, B 4276: 2025, B 4277: 2025, B 4278: 2025, B 4279: 2025, B 4280: 2025, B 4281: 2025, B 4282: 2025, B 4283: 2025, B 4284: 2025, B 4285: 2025, B 4286: 2025, B 4287: 2025, B 4288: 2025</t>
  </si>
  <si>
    <t>2007,2019;2008,2020; 2008,2020; 2008,2020; 2008,2020; 2008,2020; 2009,2021; 2009,2021; 2009,2021; 2009,2021; 2010,2022; 2010,2022; 009,2021; 2009,2021; 2009,2021; 2009,2021</t>
  </si>
  <si>
    <t>BOB: Blendfreie Beleuchtung, Taster aussen, Taster für Türöffnung (und Haltanforderung), Netzplan, optische Information im Fahrzeug: 97'750, Stufen und Trittkanten markiert: 11'500.
BAV: Kundeninformation, Billettautomaten, Türöffnungsdrücker, Beleuchtung, Markierungen etc. werden nicht durch BehiG-ZR unterstützt (--&gt; ordentliche Finanzierung)</t>
  </si>
  <si>
    <t>ABt (421 - 425)</t>
  </si>
  <si>
    <t>2004 / 2005</t>
  </si>
  <si>
    <t>ABt (411-415)</t>
  </si>
  <si>
    <t>BAV: Eine Rollstuhl-Anpassung dieser Fahrzeuge wird durch die (reguläre) Beschaffung von 6 neuen Panoramawagen sowie 15 Triebzügen für die Bernina- bzw. Arosa-Linie hinfällig (gem. Info durch RhB Oktober 2005)</t>
  </si>
  <si>
    <t>BOB: 19'550
BAV: Kundeninformation, Billettautomaten, Türöffnungsdrücker, Beleuchtung etc. werden nicht durch BehiG-ZR unterstützt (--&gt; ordentliche Finanzierung)</t>
  </si>
  <si>
    <t>B (241 - 262)</t>
  </si>
  <si>
    <t>BOB: 39'100
BAV: Kundeninformation, Billettautomaten, Türöffnungsdrücker, Beleuchtung etc. werden nicht durch BehiG-ZR unterstützt (--&gt; ordentliche Finanzierung)</t>
  </si>
  <si>
    <t>A (182)</t>
  </si>
  <si>
    <t>AB (212 + 215)</t>
  </si>
  <si>
    <t>BLS</t>
  </si>
  <si>
    <t>Bahn Normalspur / Chemins de fer à voie normale</t>
  </si>
  <si>
    <t>2004ff</t>
  </si>
  <si>
    <t>CJ</t>
  </si>
  <si>
    <t>BDe 4/4' 603, 607, 608, Bt 705</t>
  </si>
  <si>
    <t>non</t>
  </si>
  <si>
    <r>
      <t xml:space="preserve">CJ: matériel de renfort qui peut continuer de circuler si les les quais sont réhaussés à 38 cm. Sans cette mesure ces véhicules doivent être remplacés. Estimation des coûts à 15 kFr par </t>
    </r>
    <r>
      <rPr>
        <sz val="10"/>
        <rFont val="Arial"/>
        <family val="2"/>
      </rPr>
      <t>véhicule = 60'000</t>
    </r>
    <r>
      <rPr>
        <sz val="10"/>
        <rFont val="Arial"/>
        <family val="2"/>
      </rPr>
      <t>.
BAV: pas soutenu par crédit LHand (remplacement du matériel roulant avant 2023)</t>
    </r>
  </si>
  <si>
    <t>en cours</t>
  </si>
  <si>
    <t>ABe 2/6 631 à 634</t>
  </si>
  <si>
    <t>pas avant 2011</t>
  </si>
  <si>
    <t>BDe 577 101 et 102, Bt 921</t>
  </si>
  <si>
    <t>2010 au maximum</t>
  </si>
  <si>
    <r>
      <t xml:space="preserve">CJ: remplacement par deux rames à plancher bas: env. </t>
    </r>
    <r>
      <rPr>
        <sz val="10"/>
        <color indexed="10"/>
        <rFont val="Arial"/>
        <family val="2"/>
      </rPr>
      <t xml:space="preserve">10 mio Fr.
</t>
    </r>
    <r>
      <rPr>
        <sz val="10"/>
        <rFont val="Arial"/>
        <family val="2"/>
      </rPr>
      <t xml:space="preserve">BAV: Doivent être financées par </t>
    </r>
    <r>
      <rPr>
        <sz val="10"/>
        <color indexed="10"/>
        <rFont val="Arial"/>
        <family val="2"/>
      </rPr>
      <t>crédits ordinaires</t>
    </r>
    <r>
      <rPr>
        <sz val="10"/>
        <rFont val="Arial"/>
        <family val="2"/>
      </rPr>
      <t xml:space="preserve"> puisque utilisation max. jusqu'en 2010</t>
    </r>
  </si>
  <si>
    <t>FW</t>
  </si>
  <si>
    <t>Pendelzüge Be 4/4 11-17 + Bt 111-114</t>
  </si>
  <si>
    <t>2024 / 2032</t>
  </si>
  <si>
    <t>MGB</t>
  </si>
  <si>
    <t>Panoramawagen Glacier-Express (Api, Ap, Bp)</t>
  </si>
  <si>
    <t>über 2023</t>
  </si>
  <si>
    <t>Personenwagen über 2015 im Einsatz
ABDeh 8/8 2041-43</t>
  </si>
  <si>
    <t>&gt; 2015</t>
  </si>
  <si>
    <t>BAV: gem. MGB-Rollmaterialkonzept bis 2023 mindestens im Grundangebot (ohne Glacier-Express) alle Kompositionen behindertengerecht anhand ohnehin nötiger Neubeschaffungen</t>
  </si>
  <si>
    <t>BDkt 2231-33
BDk 2235-37</t>
  </si>
  <si>
    <t>Personenwagen über 2015 im Einsatz
ohne AS2011-14, AS4021-30</t>
  </si>
  <si>
    <t>AS 2011-14</t>
  </si>
  <si>
    <t>2012;2024</t>
  </si>
  <si>
    <t>Siehe obersten Eintrag MGB (Umbau in Ap/Api und Bp)</t>
  </si>
  <si>
    <t>AS 2011-14
AS 4021-30</t>
  </si>
  <si>
    <t>2012;2024
2015;2027</t>
  </si>
  <si>
    <t>BAV: Kundeninformation ink. Notrufeinrichtungen etc werden nicht aus BehiG-ZR unterstützt</t>
  </si>
  <si>
    <t>Triebfahrzeuge / Steuerwagen</t>
  </si>
  <si>
    <t>AS 2011-14
AS 4021-22</t>
  </si>
  <si>
    <t>AS 4023-30</t>
  </si>
  <si>
    <t>2015;2027</t>
  </si>
  <si>
    <t>Personenwagen über 2022 im Einsatz</t>
  </si>
  <si>
    <t>B 4273-88</t>
  </si>
  <si>
    <t>MOB</t>
  </si>
  <si>
    <t>Automotrices série 4000 accessibles après modification aux fauteuils roulants</t>
  </si>
  <si>
    <t>après 2025</t>
  </si>
  <si>
    <t>Non</t>
  </si>
  <si>
    <t>Automotrices série 5000 yc 2 voitures pilotes déjà accessibles aux fauteuils roulants</t>
  </si>
  <si>
    <t>après 2030</t>
  </si>
  <si>
    <t>En cours de révision</t>
  </si>
  <si>
    <t>BAV: communication, indications et éclairage ne seront pas soutenues par crédit LHand</t>
  </si>
  <si>
    <t>Locomotives Série 6000</t>
  </si>
  <si>
    <t>Avant 2010</t>
  </si>
  <si>
    <t>Locomotives Série 8000</t>
  </si>
  <si>
    <t>Après 2010</t>
  </si>
  <si>
    <t>Voitures GoldenPass Classic, 101,2,3,7 &amp; 201,2 Non accessibles aux fauteuil roulants</t>
  </si>
  <si>
    <t>2 voit
2006 &amp; 2007</t>
  </si>
  <si>
    <t>Voitures conventionnelles 4 portes, 105,6, 203,208-18,303-8, non accessibles à des fauteuils roulants</t>
  </si>
  <si>
    <t>Max 1 par année depuis 2007</t>
  </si>
  <si>
    <t>Voitures conventionnelles 2 portes, 204-6, avec fourgon accessibles après transformation aux fauteuils roulants</t>
  </si>
  <si>
    <t>Pas avant 2015</t>
  </si>
  <si>
    <t>Voitures Panoramiques à 2 portes, 114,223,251-2, non accessibles à des fauteuils roulants</t>
  </si>
  <si>
    <t>Voitures Panoramiques à 4 portes, 110-2,118-9,221-2,226-8, non accessibles à des fauteuils roulants</t>
  </si>
  <si>
    <t>Voitures pilotes Panoramiques à 2 portes, 116-7, 151-2, non accessibles à des fauteuils roulants</t>
  </si>
  <si>
    <t>Voitures Panoramiques à 2 portes et fourgon, 220, 224-5, déjà accessibles à des fauteuils roulants</t>
  </si>
  <si>
    <t>MVR</t>
  </si>
  <si>
    <t>Automotrices série 7000 déjà accessible aux fauteuils roulants</t>
  </si>
  <si>
    <t>Automotrices Série 73-5</t>
  </si>
  <si>
    <t>Avant 2015</t>
  </si>
  <si>
    <t>MVR: Inaccessible aux fauteuils
BAV: communication, indications et éclairage ne seront pas soutenues par crédit LHand</t>
  </si>
  <si>
    <t>Train des Etoiles, Automtrice 71 + voiture pilote 224</t>
  </si>
  <si>
    <t>Automotrice Astropléiades 72</t>
  </si>
  <si>
    <t>Après 2015</t>
  </si>
  <si>
    <t>Voitures pilotes 221-3</t>
  </si>
  <si>
    <t>Entre 2007 et 2015</t>
  </si>
  <si>
    <t xml:space="preserve">Complément éventuel pour 2 voitures pilotes si accès fauteuil obligatoire. </t>
  </si>
  <si>
    <t>après 2026</t>
  </si>
  <si>
    <t>Entre 2007 et 2016</t>
  </si>
  <si>
    <t>Automotrices Série 300</t>
  </si>
  <si>
    <t>Entre 2010 et 2015</t>
  </si>
  <si>
    <t>Automotrices Série 200</t>
  </si>
  <si>
    <t>NStCM</t>
  </si>
  <si>
    <t>RBS</t>
  </si>
  <si>
    <t>Ja</t>
  </si>
  <si>
    <t>Voitures GoldenPass Classic 105 accessible après transformation aux fauteuils roulants</t>
  </si>
  <si>
    <t>RhB</t>
  </si>
  <si>
    <t>Bernina-Linie MF-Wagen</t>
  </si>
  <si>
    <t>SBB</t>
  </si>
  <si>
    <t>SZU</t>
  </si>
  <si>
    <t>S4: B271ff  Dosto (Einstieg über DG) / 1992</t>
  </si>
  <si>
    <t>2014-2016</t>
  </si>
  <si>
    <t>S4: BD281ff  Zwischenwagen / 1990</t>
  </si>
  <si>
    <t>2012-2014</t>
  </si>
  <si>
    <t>S4: Bt984ff / 1986</t>
  </si>
  <si>
    <t>2010-2012</t>
  </si>
  <si>
    <t>Flotte ergänzen:
6 Niederflur-Dosto
2008-2012</t>
  </si>
  <si>
    <t>S4: Bt971ff / 1976</t>
  </si>
  <si>
    <t>2010-2011</t>
  </si>
  <si>
    <t>S4: Re456 542ff / 1987-1993</t>
  </si>
  <si>
    <t>2009-2015</t>
  </si>
  <si>
    <t>S4: Bt992, 993, 995 / 1963</t>
  </si>
  <si>
    <t>S4: B291ff / 1962</t>
  </si>
  <si>
    <t>S4: BDe596, 594,596 / 1968-1971</t>
  </si>
  <si>
    <t>S10: Be556 521ff / 1992</t>
  </si>
  <si>
    <t>2013-2015</t>
  </si>
  <si>
    <t>S10: B221ff / 2004</t>
  </si>
  <si>
    <t>2005-2006</t>
  </si>
  <si>
    <t>S10: Be556 531ff (Doppeltriebwagen) /1978</t>
  </si>
  <si>
    <t>SZU: bestehender Spalt von 18cm bei gerader Strecke trotz niveaugleichem Einstieg; Überbrückung mittels Faltrampe möglich (Personal erforderlich)</t>
  </si>
  <si>
    <t>TB</t>
  </si>
  <si>
    <t>GTW</t>
  </si>
  <si>
    <t>RABe NINA</t>
  </si>
  <si>
    <t>TRN</t>
  </si>
  <si>
    <t>ADEe 537.311</t>
  </si>
  <si>
    <t>2004-2005</t>
  </si>
  <si>
    <t>TRN: Mise au rebut prochaine</t>
  </si>
  <si>
    <t>ADEe 537.312</t>
  </si>
  <si>
    <t>ADEe 537.313</t>
  </si>
  <si>
    <t>ABDe 567.315</t>
  </si>
  <si>
    <t>ABDe 567.316</t>
  </si>
  <si>
    <t>insg. 14</t>
  </si>
  <si>
    <t>ABDe 567.317</t>
  </si>
  <si>
    <t>RABe 527.321.4</t>
  </si>
  <si>
    <t>RABe 527.322.2</t>
  </si>
  <si>
    <t>ABt 202</t>
  </si>
  <si>
    <t>ABt 204</t>
  </si>
  <si>
    <t>Abt 205</t>
  </si>
  <si>
    <t>Abt 206</t>
  </si>
  <si>
    <t>B 301</t>
  </si>
  <si>
    <t>B 302</t>
  </si>
  <si>
    <t>B 304</t>
  </si>
  <si>
    <t>B 305</t>
  </si>
  <si>
    <t>B 306</t>
  </si>
  <si>
    <t>B 307</t>
  </si>
  <si>
    <t>BDe 2</t>
  </si>
  <si>
    <t>BDe 3</t>
  </si>
  <si>
    <t>BDe 5</t>
  </si>
  <si>
    <t>BDe 6</t>
  </si>
  <si>
    <t>BDe 7</t>
  </si>
  <si>
    <t>BDe 8</t>
  </si>
  <si>
    <t>Bt 11</t>
  </si>
  <si>
    <t>Bt 12</t>
  </si>
  <si>
    <t>Ast 21</t>
  </si>
  <si>
    <t>WAB</t>
  </si>
  <si>
    <t>Bhe 4/8 (141 - 144)</t>
  </si>
  <si>
    <t>ABeh 4/4 (304 - 310)</t>
  </si>
  <si>
    <t>ABeh 4/4 (311 - 313)</t>
  </si>
  <si>
    <t>bis nach 2023</t>
  </si>
  <si>
    <t>Bt (241 - 244)</t>
  </si>
  <si>
    <t>WAB: 92'000
BAV: Kundeninformation, Billettautomaten, Türöffnungsdrücker, Beleuchtung etc. werden nicht durch BehiG-ZR unterstützt (--&gt; ordentliche Finanzierung)</t>
  </si>
  <si>
    <t>Bt (251 - 253)</t>
  </si>
  <si>
    <t>Bt (211 - 226)</t>
  </si>
  <si>
    <t>WAB: Blendfreie Beleuchtung, Taster für Türöffnung (und Haltanforderung), Netzplan, optische Information im Fahrzeug, akustische Information im Fahrzeug: 43'700, Stufen und Trittkanten markiert: 21'850
BAV: Kundeninformation, Billettautomaten, Türöffnungsdrücker, Beleuchtung, Markierungen etc. werden nicht durch BehiG-ZR unterstützt (--&gt; ordentliche Finanzierung)</t>
  </si>
  <si>
    <t>WB</t>
  </si>
  <si>
    <t>WSB</t>
  </si>
  <si>
    <t>Be 4/4 Motorwagen 9 - 13</t>
  </si>
  <si>
    <t>Be 4/4 Motorwagen 15 - 17, 19 - 27</t>
  </si>
  <si>
    <t>2005-2008</t>
  </si>
  <si>
    <t>Bt Steuerwagen 71 - 79</t>
  </si>
  <si>
    <t>Wann findet voraussichtlich die Hauptrevision dieses Rollmaterials statt, damit allfällige Umbauten möglichst in diesem Zusammenhang erledigt werden können?</t>
  </si>
  <si>
    <t>WSB: Gem. Offerten: CHF 1.4 Mio/Steuerwagen
BAV: Kundeninfo werden nicht durch BehiG-ZR unterstützt. 1 Rollstuhlzugang pro Komp. im ganzen Grundangebot bis 2023 aus ordentlichen Mitteln finanziert</t>
  </si>
  <si>
    <t>BDt Steuerwagen 80</t>
  </si>
  <si>
    <t>BDt Steuerwagen 81 - 85</t>
  </si>
  <si>
    <t>Be 4/8 Pendel</t>
  </si>
  <si>
    <t>2003-2004</t>
  </si>
  <si>
    <t>Neue NF-Zwischenwagen für Grundangebot</t>
  </si>
  <si>
    <t>BAV: Ersatz bis 2020 geplant -&gt; ordentliche Finanzierung</t>
  </si>
  <si>
    <t>Legende der Zeilen und Spalten</t>
  </si>
  <si>
    <t>Die mit einem * bezeichneten Zeilen und Spalten sind normalerweise ausgeblendet (Excel-Funktion "Gruppierung") und
können mit dem entsprechenden "+"-Button eingeblendet werden</t>
  </si>
  <si>
    <t>Zeile</t>
  </si>
  <si>
    <t>Legende</t>
  </si>
  <si>
    <t>Spalte</t>
  </si>
  <si>
    <t>A</t>
  </si>
  <si>
    <t>Name der Transportunternehmung</t>
  </si>
  <si>
    <t>B</t>
  </si>
  <si>
    <t>Verkehrsträger-Art (Bahn Normalspur, Bahn Schmalspur, Stand- oder Luftseilbahn). Da der Tram-, Bus- und Schiffsverkehr keinen Anspruch auf Finanzhilfen aus dem BehiG-Zahlungsrahmen hat, sind keine entsprechenden Fahrzeuge enthalten</t>
  </si>
  <si>
    <t>C</t>
  </si>
  <si>
    <t>Bezeichnung des Rollmaterials</t>
  </si>
  <si>
    <t>D</t>
  </si>
  <si>
    <t xml:space="preserve">Anzahl Fahrzeuge </t>
  </si>
  <si>
    <t>E</t>
  </si>
  <si>
    <t>Wird dieser Rollmaterialtyp täglich eingesetzt oder handelt es sich z.B. um Verstärkungsmaterial?</t>
  </si>
  <si>
    <t>F</t>
  </si>
  <si>
    <t>Wann wird dieser Rollmaterialtyp voraussichtlich ausrangiert (wenn vor 2023: keine Finanzhilfen zur BehiG-Zahlungsrahmen)?</t>
  </si>
  <si>
    <t>G</t>
  </si>
  <si>
    <t>H</t>
  </si>
  <si>
    <t>N à AM*</t>
  </si>
  <si>
    <t>N bis AM*</t>
  </si>
  <si>
    <t>BAV:  3 mobile Faltrampen für neue 3 GTW können nicht unterstützt werden, da Bestellung nach Inkrafttreten BehiG. Zudem: Bereits realisierte Massnahmen (hier: vorhandenee Faltrampen für 2 GTW, gekauft 2004) können nicht rückwirkend bezahlt werden. Restliches RB-Rollmaterial wird innerhalb BehiG-Frist ordentlich ersetzt.</t>
  </si>
  <si>
    <t>Neue Triebzüge für Stammstrecke</t>
  </si>
  <si>
    <t>BAV: nicht anrechenbar, da regulärer Ersatz</t>
  </si>
  <si>
    <t>Total</t>
  </si>
  <si>
    <t>HGe 101 961 - 101 968</t>
  </si>
  <si>
    <t>ABe 130 001 - 010</t>
  </si>
  <si>
    <t>ABt 901-905</t>
  </si>
  <si>
    <t>A 211 - 217</t>
  </si>
  <si>
    <t>A Pano 102 - 103</t>
  </si>
  <si>
    <t>BD 351 - 357</t>
  </si>
  <si>
    <t>2010-2020</t>
  </si>
  <si>
    <t>2020-2030</t>
  </si>
  <si>
    <t>2005;2011</t>
  </si>
  <si>
    <t>2030-2040</t>
  </si>
  <si>
    <t>2004-2006</t>
  </si>
  <si>
    <t>2040-2050</t>
  </si>
  <si>
    <t>2006;2007;2008</t>
  </si>
  <si>
    <t>2007-2010</t>
  </si>
  <si>
    <t>Keine</t>
  </si>
  <si>
    <t>zb: Lokomotive, Passagiere haben keinen Zugang</t>
  </si>
  <si>
    <t>Ja/Oui</t>
  </si>
  <si>
    <t>Nouvelle voiture à plancher bas (total 6)</t>
  </si>
  <si>
    <t>BOB: 217'350
BAV: Kundeninformation, Billettautomaten, Türöffnungsdrücker, Beleuchtung etc. werden nicht durch BehiG-ZR unterstützt (--&gt; ordentliche Finanzierung). Hublifte machen keinen Sinn, wenn in der gleichen Komposition Niederflurwagen mitgeführt werden.</t>
  </si>
  <si>
    <t>zb: Neuen Niederflurfahrzeuge, Böv während dem Bau involviert. Einsatz, S-Bahn Luzern-Giswil, Luzern-Stans, Interlaken Ost-Meiringen.</t>
  </si>
  <si>
    <t>zb: Neuen Niederflurfahrzeuge, Böv während dem Bau involviert. Einsatz, Stundentakt nach Engelberg.</t>
  </si>
  <si>
    <t>zb-LSE</t>
  </si>
  <si>
    <t>zb-BB</t>
  </si>
  <si>
    <t>Handelt es sich beim angegeben Rollmaterial um Neubeschaffungen? Wenn ja: wann?</t>
  </si>
  <si>
    <t>I</t>
  </si>
  <si>
    <t>Wird das bezeichnete Rollmaterial voraussichtlich im Grobnetz eingesetzt (Grobnetz gemäss den Kriterien nach Art. 12 bis 16 VböV (SR 151.34)?</t>
  </si>
  <si>
    <t>Voraussichtlicher Anteil Bund (Finanzhilfen aus dem BehiG-Zahlungsrahmen des Bundes)</t>
  </si>
  <si>
    <t>Voraussichtlicher Anteil pro Kanton</t>
  </si>
  <si>
    <t xml:space="preserve">Bemerkungen der TU sowie BAV-Angaben über die durch den BehiG-Zahlungsrahmen unterstützten, jeweils kostengünstigsten (Art. 20 VböV) Massnahmen. </t>
  </si>
  <si>
    <t xml:space="preserve">Es gelten folgende Richtpreise: </t>
  </si>
  <si>
    <t>Schiebetritte: 80'000.- pro Komp. (z.B. NINA, Jumbo, SZU-Uetlibergbahn)</t>
  </si>
  <si>
    <t>Hublifte (z.B. "ULift"): 90'000.- pro Komp.</t>
  </si>
  <si>
    <t>Niederflur-Zwischenwagen: Anteil für vorzeitige Beschaffungskosten: 33% von 2 Mio. Es muss jedoch immer abgeklärt werden, ob bestehende SIG-Drehgestelle weiter verwendet werden können, um die Kosten zu reduzieren</t>
  </si>
  <si>
    <t>Légende des lignes et des colonnes</t>
  </si>
  <si>
    <t>Les lignes et colonnes pourvues d'un * sont habituellement occultées (fonction Excel "grouper") et sont visibles grâce à la touche +</t>
  </si>
  <si>
    <t>Ligne</t>
  </si>
  <si>
    <t>Légende</t>
  </si>
  <si>
    <t>Colonne</t>
  </si>
  <si>
    <t>Nom de l'entreprise de transport</t>
  </si>
  <si>
    <t>Voraussichtlich zur Verfügung stehende BehiG-Mittel /
Moyens LHand probablement à disposition</t>
  </si>
  <si>
    <t>Type de transport (chemin de fer à voie normale, chemin de fer à voie étroite, funiculaire ou téléphérique). Etant donné que les trafics de tram, de bus et la navigation n'ont pas droit à des aides financières issues de l'enveloppe financière LHand, les véhicules servant à ces types de transport ne sont pas inclus</t>
  </si>
  <si>
    <t>J</t>
  </si>
  <si>
    <t>K</t>
  </si>
  <si>
    <t>L</t>
  </si>
  <si>
    <t>M</t>
  </si>
  <si>
    <t>Total des moyens financiers disponibles prévus (enveloppe financière LHand de la Confédération et crédits cantonaux ad hoc). Total des colonnes K et L. Explications: voir les remarques dans la colonne AR.</t>
  </si>
  <si>
    <t>Total der voraussichtlich zur Verfügung stehende Mittel (BehiG-Zahlungsrahmen des Bundes und entsprechende Kantonskredite). Total der Spalten K und L. Erläuterungen siehe Spalte AR</t>
  </si>
  <si>
    <t>Voraussichtlicher Anteil der Kantone insgesamt (Finanzhilfen aus entsprechenden Kantonskredite). Gemäss Art. 23 Abs. 1 BehiG (SR 151.3) gilt der jeweilige öV-Finanzierungsschlüssel. Aktuell wurden die Abgeltungsschlüssel 2005 (prozentuale Anteile bei mehreren betroffenen Kantonen) nach KAV für Rollmaterial angewendet.</t>
  </si>
  <si>
    <t>Part totale prévue des cantons (aides financières issues des crédits cantonaux ad hoc). La clé de répartition valable est celle qui est pertinente conformément à l'art. 23 al. 1 LHand (RS 151.3). Actuellement, on a appliqué les clés d'indemnisation 2005 (part en pour-cent pour plusieurs cantons concernés) selon l'OPCTR pour le matériel roulant.</t>
  </si>
  <si>
    <t>Moment / période (année) prévus pour réaliser les mesures selon la colonne AR. Ce calendrier sera adapté périodiquement aux conditions-cadres financières.</t>
  </si>
  <si>
    <t>Voraussichtlicher Zeitpunkt / Zeitspanne (Jahr) der Realisierung der Massnahmen nach Spalte AR. Diese Realisierungszeitpunkte werden periodisch den finanziellen Rahmenbedingungen angepasst werden.</t>
  </si>
  <si>
    <t>Description du matériel roulant</t>
  </si>
  <si>
    <t>Nombre de véhicules</t>
  </si>
  <si>
    <t>Ce type de matériel roulant est-il utilisé quotidiennement ou s'agit-il (p. ex.) de matériel de renfort?</t>
  </si>
  <si>
    <t>Quand est-il prévu de retirer ce type de matériel roulant (si avant 2023: pas d'aide financière issue de l'enveloppe LHand)?</t>
  </si>
  <si>
    <t>Quand est-il prévu de réviser ce matériel roulant (révision générale), afin que les éventuels aménagements puissent être effectués dans ce cadre?</t>
  </si>
  <si>
    <t>Concernant le matériel roulant indiqué, s'agit-il de nouvelles acquisitions? Si oui, quand?</t>
  </si>
  <si>
    <t>Est-il prévu d'utiliser le matériel roulant indiqué sur le réseau primaire (réseau primaire selon les critères des art. 12 à 16 OHand (RS 151.34)?</t>
  </si>
  <si>
    <t>Part fédérale prévue (aides financières issues de l'enveloppe financière LHand fédérale)</t>
  </si>
  <si>
    <t>Part prévue par canton</t>
  </si>
  <si>
    <t xml:space="preserve">Remarques de l'ET et indications de l'OFT sur les mesures les plus avantageuses financées dans le cadre de l'enveloppe financière LHand (art. 20 OTHand).  </t>
  </si>
  <si>
    <t xml:space="preserve">Les prix indicatifs sont les suivants: </t>
  </si>
  <si>
    <t>Marchepieds escamotables: 80'000.- par composition (p.ex.NINA, Jumbo, SZU-Uetlibergbahn)</t>
  </si>
  <si>
    <t>Plate-formes élévatrices (p.ex. "ULift"): 90'000.- par composition</t>
  </si>
  <si>
    <t xml:space="preserve">Voiture intermédiaire à plancher surbaissé: participation aux frais d'acquisition précoce: 33% de 2 millions. Il faut toutefois toujours tirer au clair préalablement si les bogies SIG peuvent encore être utilisées afin de réduire les coûts. </t>
  </si>
  <si>
    <t>Allgemeine Angaben /
indications générales:</t>
  </si>
  <si>
    <t>Einsatz / utilisation</t>
  </si>
  <si>
    <t>Neubeschaffung / nouvelle acquisition</t>
  </si>
  <si>
    <t>Grobnetz / réseau primaire:</t>
  </si>
  <si>
    <t>Anteil je Kanton gemäss IKV / 
part par canton selon clé de répartition intercantonale</t>
  </si>
  <si>
    <t>TU Name (Ab- kürzung)</t>
  </si>
  <si>
    <t>Verkehrsträger-Art</t>
  </si>
  <si>
    <t>Rollmaterial-/ Fahrzeugbezeichnung</t>
  </si>
  <si>
    <t>Täglicher Einsatz?</t>
  </si>
  <si>
    <t>Geplante Einsatz-dauer bis?</t>
  </si>
  <si>
    <t>Neubeschaffung? Wenn ja: Jahres-angabe(n) Inbetriebnahme</t>
  </si>
  <si>
    <t>Befindet sich das Fahrzeug im Einsatz des Grobnetz-Bereichs? (Ja/Nein)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</si>
  <si>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</si>
  <si>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</si>
  <si>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</si>
  <si>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</si>
  <si>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</si>
  <si>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</si>
  <si>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</si>
  <si>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</si>
  <si>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</si>
  <si>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</si>
  <si>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</si>
  <si>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</si>
  <si>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</si>
  <si>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</si>
  <si>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</si>
  <si>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</si>
  <si>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</si>
  <si>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</si>
  <si>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</si>
  <si>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</si>
  <si>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</si>
  <si>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</si>
  <si>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</si>
  <si>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</si>
  <si>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</si>
  <si>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</si>
  <si>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Bemerkungen</t>
  </si>
  <si>
    <t>Nom de l'ET (abr.)</t>
  </si>
  <si>
    <t>Mode de transport</t>
  </si>
  <si>
    <t>Désignation du matériel roulant / des véhicules</t>
  </si>
  <si>
    <t>Nbre des véhicules</t>
  </si>
  <si>
    <t>Utilisation quotidi-enne</t>
  </si>
  <si>
    <t>Utilisation prévue jusqu'en?</t>
  </si>
  <si>
    <t>Révisions générales planifiées</t>
  </si>
  <si>
    <t>Nouvelle acquisition? Si oui: année(s) de mise en exploitation</t>
  </si>
  <si>
    <t>Le véhicule est-il utilisé sur le réseau primaire? (oui/non)</t>
  </si>
  <si>
    <t>Remarques</t>
  </si>
  <si>
    <t>Ja / Oui</t>
  </si>
  <si>
    <t>AB</t>
  </si>
  <si>
    <t>Bahn Schmalspur / Chemins de fer à voie étroite</t>
  </si>
  <si>
    <t>Ja, nicht durch Zugspersonal begleitet / Oui, non accompagné par du personnel ferroviaire</t>
  </si>
  <si>
    <t>ASM</t>
  </si>
  <si>
    <t>Nein / Non</t>
  </si>
  <si>
    <t>keine</t>
  </si>
  <si>
    <t>Be 4/4, Bt, Nr. 101-104, 351-354 / 525</t>
  </si>
  <si>
    <t>BDWM</t>
  </si>
  <si>
    <t>BDe 4/4 (BAV: wahrscheinlich Be 4/8)</t>
  </si>
  <si>
    <t>2010 - 2011</t>
  </si>
  <si>
    <t>Nein</t>
  </si>
  <si>
    <t>BAV: Kundeninformationssysteme (Halteanforderungen und Suchruf 60'000) werden nicht durch Zahlungsrahmen BehiG unterstützt</t>
  </si>
  <si>
    <t>BDe 8/8</t>
  </si>
  <si>
    <t>2006 - 2008</t>
  </si>
  <si>
    <t>BAV: Die BDe 8/8 werden bis 2023 altersbedingt ersetzt sein 
(--&gt; Finanzierung durch ordentliche Mittel)</t>
  </si>
  <si>
    <t>BLM</t>
  </si>
  <si>
    <t>BDe 4/4</t>
  </si>
  <si>
    <t>bis nach 2015</t>
  </si>
  <si>
    <t>?</t>
  </si>
  <si>
    <t>-</t>
  </si>
  <si>
    <t>Rame ABDe 538 316 + Bt 204</t>
  </si>
  <si>
    <t>aucune</t>
  </si>
  <si>
    <t>Be 4/4 1-2</t>
  </si>
  <si>
    <t>Be 4/4 4-5</t>
  </si>
  <si>
    <t>Bt 51</t>
  </si>
  <si>
    <t>Bt 52</t>
  </si>
  <si>
    <t>BDt 53</t>
  </si>
  <si>
    <t>BDt 54</t>
  </si>
  <si>
    <t>B 35</t>
  </si>
  <si>
    <t>Total 20 Niederflurwagen mit Schiebetritt oder Klapptritt für Rollstuhlzugang  restliches Netz RhB (Grundangebot) und total 9 Triebzüge für Berninastrecke</t>
  </si>
  <si>
    <t>TRAVYS: Objectif: utiliser ces véhicules par avec une voiture-pilote adaptée. Adjonction voiture pilote 52, permettant d'avoir au moins 1 porte accessible</t>
  </si>
  <si>
    <t>TRAVYS: Objectif: utiliser ce véhicule comme véhicule de renfort ou de réserve. A remplacer par nouvelle Bt GTW 52</t>
  </si>
  <si>
    <t>TRAVYS: Sera mis hors service 2007 si commande Bt 52</t>
  </si>
  <si>
    <t>TRAVYS: Rame utilisée essentiellement pour trains avec clientèle scolaire et services de remplacement. Rampes type DECPAC
BAV: Rampes type DECPAC utilisable pour plancher haut?</t>
  </si>
  <si>
    <t>TRAVYS: Objectif: utiliser ce véhicule comme véhicule de renfort ou de réserve- A remplacer par nouvelle Bt GTW 52</t>
  </si>
  <si>
    <t>TRAVYS: Véhicules de réserve, faibles prestations km/an</t>
  </si>
  <si>
    <t>TRAVYS: Véhicules de réserve, faibles prestations km/an. Rampes type DECPAC
BAV: Rampes DECPAC utilisables pour plancher haut?</t>
  </si>
  <si>
    <t>Be 2/2 No 14</t>
  </si>
  <si>
    <t>non planifiée</t>
  </si>
  <si>
    <t>Be 4/4 No 13</t>
  </si>
  <si>
    <t>Nouvelle automotrice surbaissée</t>
  </si>
  <si>
    <t>TRAVYS: Devrait être remplacé prochainement par un véhicule d'occasion permettant l'aide par le mécanicien. Rampes type DECPAC
BAV: Rampes DECPAC utilisables pour plancher haut?</t>
  </si>
  <si>
    <t>TRAVYS: Pas d'adaptation majeure prévue avant éventuel renouvellement anticipé, aide par le mécanicien. Rampe DECPAC, évt. remplacement par véhicule surbaissé des 2014
BAV: Rampe DECPAC utilisable pour plancher haut?</t>
  </si>
  <si>
    <t>Ja, durch Zugspersonal begleitet / Oui, accompagné par du personnel ferroviaire</t>
  </si>
  <si>
    <t>Standseilbahn / Funicularie</t>
  </si>
  <si>
    <t>BOB</t>
  </si>
  <si>
    <t>BDt (401 - 403)</t>
  </si>
  <si>
    <t>2034-2041</t>
  </si>
  <si>
    <t>1999-2006</t>
  </si>
  <si>
    <t>2034-2042</t>
  </si>
  <si>
    <t>1999-2007</t>
  </si>
  <si>
    <t>2034-2043</t>
  </si>
  <si>
    <t>1999-2008</t>
  </si>
  <si>
    <t>BD (501 - 503)</t>
  </si>
  <si>
    <t xml:space="preserve">DPZ S-Bahn-Zürich </t>
  </si>
  <si>
    <t>2010 bis 2016</t>
  </si>
  <si>
    <t>De 4/4'' 411, BDe 4/4'' 611 à 614, ABt 711 à 715, BDt 721, 722, B 751 à 757</t>
  </si>
  <si>
    <t>Anzahl Fahrzeuge</t>
  </si>
  <si>
    <t>Evtl. Transformation de la voiture pilote 223 en voiture pilote à plancher bas analogue 224 (au lieu de 2 ULift 222 et 223)</t>
  </si>
  <si>
    <t>Geplante Hauptrevisionen</t>
  </si>
  <si>
    <t>ASM-bti</t>
  </si>
  <si>
    <t>ASM-rvo</t>
  </si>
  <si>
    <t>RBDe 566 B-Jumbo, ABt (ex RM)</t>
  </si>
  <si>
    <t>RABe 525 NINA
RBDe 565 B-Jumbo, ABt</t>
  </si>
  <si>
    <t>BAV: Schiebetritte, inkl. ex-2 TRN NINA</t>
  </si>
  <si>
    <t>BAV: Schiebetritte</t>
  </si>
  <si>
    <t>MBC-BAM</t>
  </si>
  <si>
    <t>Voitures intermédiaires à plancher bas: total 3</t>
  </si>
  <si>
    <t>insg. 8</t>
  </si>
  <si>
    <t>insg. 7</t>
  </si>
  <si>
    <t>AN</t>
  </si>
  <si>
    <t>Summentotale</t>
  </si>
  <si>
    <t>Berechnungsschlüssel bis 2007 (betrifft Spalten N bis AM)</t>
  </si>
  <si>
    <t>6*</t>
  </si>
  <si>
    <t>7*</t>
  </si>
  <si>
    <t>Sommes totales</t>
  </si>
  <si>
    <t>Clés de répartition jusque 2007 (concerne colonnes N à AM)</t>
  </si>
  <si>
    <t>Berechnungsschlüssel ab 2008 (betrifft Spalten N bis AM)</t>
  </si>
  <si>
    <t>Clés de répartition a partir de 2008  (concerne colonnes N à AM)</t>
  </si>
  <si>
    <t>Total der anrechenbaren BehiG-Finanzhilfen, Anteile Bund und Kantone zusammen</t>
  </si>
  <si>
    <t>Totale des aides financières LHand imputables, parts fédérales et cantonales</t>
  </si>
  <si>
    <t>RA</t>
  </si>
  <si>
    <t>Beschaffung neue NF-Zwischenwagen (Anteil Vorzeitigkeit)</t>
  </si>
  <si>
    <t>Komet 2011, 2012, 2013, 2021, 2022: Nachrüstung Schiebetritt</t>
  </si>
  <si>
    <t>BAV: Keine BehiG-Finanzhilfen anrechenbar, da Inbetriebsetzung nach 2004 (Inkraftteten BehiG)</t>
  </si>
  <si>
    <t>insg. 5</t>
  </si>
  <si>
    <t>GTW, Be 2/6, Nr. 501 bis 507</t>
  </si>
  <si>
    <t>NPZ rame RBDe 568 384-85+Bt 984-985</t>
  </si>
  <si>
    <t>BAV: Projet complété</t>
  </si>
  <si>
    <t>insg. 10</t>
  </si>
  <si>
    <t>Schlüssel Kantons-beteiligung ab 2012</t>
  </si>
  <si>
    <t>SZU: Nachrüstung von Schiebetritten bei den bestehenden NF-Zwischenwagen nicht nötig, da mit den neuen Zweispannungs-Triebzügen ab 2014 die BehiG-Konformität sichergestellt ist.</t>
  </si>
  <si>
    <t>Total 5</t>
  </si>
  <si>
    <t>3 de 5 nouvelles unités  à plancher bas</t>
  </si>
  <si>
    <t>2 de 5 nouvelles unités  à plancher bas</t>
  </si>
  <si>
    <t>BAV: montage de marches rabattables à 2 portes par véhicule</t>
  </si>
  <si>
    <t>Bt 55</t>
  </si>
  <si>
    <t>2017 - 2018</t>
  </si>
  <si>
    <r>
      <t xml:space="preserve">Total Mittel aus Behi-ZR Anteil </t>
    </r>
    <r>
      <rPr>
        <b/>
        <sz val="10"/>
        <color indexed="12"/>
        <rFont val="Arial"/>
        <family val="2"/>
      </rPr>
      <t>Bund</t>
    </r>
  </si>
  <si>
    <r>
      <t xml:space="preserve">Total Anteil </t>
    </r>
    <r>
      <rPr>
        <b/>
        <sz val="10"/>
        <color indexed="12"/>
        <rFont val="Arial"/>
        <family val="2"/>
      </rPr>
      <t>Kanton(e)</t>
    </r>
  </si>
  <si>
    <r>
      <t>Jahr</t>
    </r>
    <r>
      <rPr>
        <b/>
        <sz val="10"/>
        <rFont val="Arial"/>
        <family val="2"/>
      </rPr>
      <t xml:space="preserve"> der voraussicht-lichen Realisierung</t>
    </r>
  </si>
  <si>
    <r>
      <t xml:space="preserve">Totale fonds du plafond de dépenses LHand, part </t>
    </r>
    <r>
      <rPr>
        <b/>
        <sz val="10"/>
        <color indexed="12"/>
        <rFont val="Arial"/>
        <family val="2"/>
      </rPr>
      <t>Confédération</t>
    </r>
  </si>
  <si>
    <r>
      <t xml:space="preserve">Totale  part(s) </t>
    </r>
    <r>
      <rPr>
        <b/>
        <sz val="10"/>
        <color indexed="12"/>
        <rFont val="Arial"/>
        <family val="2"/>
      </rPr>
      <t>cantons</t>
    </r>
  </si>
  <si>
    <r>
      <t>Année</t>
    </r>
    <r>
      <rPr>
        <b/>
        <sz val="10"/>
        <rFont val="Arial"/>
        <family val="2"/>
      </rPr>
      <t xml:space="preserve"> prévue de réalisation</t>
    </r>
  </si>
  <si>
    <t>TPC-aomc</t>
  </si>
  <si>
    <t>2013: 1 (total 5)</t>
  </si>
  <si>
    <t>Acquisition anticipée de 5 nouvelles rames (pour besoin ordinaire)</t>
  </si>
  <si>
    <t>2014: 3 (total 5)</t>
  </si>
  <si>
    <t>total 3</t>
  </si>
  <si>
    <t>GTW 2/6 mixte adhérence / crémaillère</t>
  </si>
  <si>
    <t>GTW Montreux - Les Pléiades</t>
  </si>
  <si>
    <t>TRAVYS-oc</t>
  </si>
  <si>
    <t>TRAVYS-pbr</t>
  </si>
  <si>
    <t>TRAVYS-ystc</t>
  </si>
  <si>
    <t>OFT: La réélectrification de la ligne OC implique une situation "nécessaire de toure manière" du point de vue LHand.</t>
  </si>
  <si>
    <t>MIB</t>
  </si>
  <si>
    <t>zb: Einsatz Reservependel</t>
  </si>
  <si>
    <t>zb: Einsatz Stundentakt IR Engelberg</t>
  </si>
  <si>
    <t>B 545 - 557, 581 - 584</t>
  </si>
  <si>
    <t>zb: Einsatz Engelbergerzüge, im Stundentakt und in den Verstärkungszügen, sowie in der S-Bahn als Verstärkungsmodul. 
Teilweise nur bis 2017 im Einsatz</t>
  </si>
  <si>
    <t>B 303  - 326</t>
  </si>
  <si>
    <t>Einsatz S-Bahn Module, Reservependel
Teilweise nur bis 2017 im Einsatz</t>
  </si>
  <si>
    <t>zb: Einsatz Engelbergerzüge, im Stundentakt und in Reservependel</t>
  </si>
  <si>
    <t>ABeh 150 001-004</t>
  </si>
  <si>
    <t>ABeh 160 001-006</t>
  </si>
  <si>
    <t>ABeh 161 011-015</t>
  </si>
  <si>
    <t>BDeh Nr. 6</t>
  </si>
  <si>
    <t>Nur noch für Dienst- und Extrafahrten. Keine Nachrüstung mit Monitoren.</t>
  </si>
  <si>
    <t>ABt 941-943</t>
  </si>
  <si>
    <t>zb: Einsatz S-Bahn, Stammformation bilden die ABe 130, nur noch bis 2017 im Einsatz</t>
  </si>
  <si>
    <t>ABt 25-30, 131-132</t>
  </si>
  <si>
    <t>zb: Einsatz S-Bahn als Verstärkungsmodule während den Stosszeiten, Stammformation bilden die ABe 130
Einsatz in den HGe Pendel als Reserve
Teilweise nur bis 2017 im Einsatz</t>
  </si>
  <si>
    <t>Einsatz Stundentakt IR Brünig, IBN 2012/2013, entsprechen den VböV Vorgaben</t>
  </si>
  <si>
    <t>Einsatz Verstärkungen IR und S-Bahn, IBN 2012/2013, entsprechen den VböV Vorgaben</t>
  </si>
  <si>
    <t>Einsatz Verstärkungen IR und S-Bahn, IBN 2016, entsprechen den VböV Vorgaben</t>
  </si>
  <si>
    <t>Acquisition de rames existantes AB (total 5 unités), remplaçants Be 4/4 Littorail</t>
  </si>
  <si>
    <t>OFT: Acquisition de rames AB (total 5) pour Littorail</t>
  </si>
  <si>
    <t>Übernahme 1 MVR-GTW Serie 7001 - 7004</t>
  </si>
  <si>
    <t>TRN-tn</t>
  </si>
  <si>
    <t>Niederflur-Triebfahrzeuge</t>
  </si>
  <si>
    <t>BAV: Keine BehiG-Finanzhilfen anrechenbar, da ohnehin Umspurung auf Meterspur</t>
  </si>
  <si>
    <t>THURBO</t>
  </si>
  <si>
    <t>GTW 2/8 Klapptritteinbau</t>
  </si>
  <si>
    <t>Total 38</t>
  </si>
  <si>
    <t>Be 2/6 2000-2001 (GTW), total 2</t>
  </si>
  <si>
    <t>BAV: Réalisation de marches rabatables (une plateforme par rame). Total: 2 GTW, 1 Bt</t>
  </si>
  <si>
    <t>AB-RHB</t>
  </si>
  <si>
    <t>Beschaffung von insg. 5 neuen Gelenktriebzügen (Anteil Vorzeitigkeit) Linie Gossau-Wasserauen und Altstätten-Gais</t>
  </si>
  <si>
    <t>BAV: Bedarf TU anrechenb. Beiträge: Anbau Niederflurwagen mit 1 zusätzlichen Drehgestell an bestehende Bt: Kosten ca. 1 Mio / Bt, total 4 Mio anrechenbar (2010, 2011 und 2012)</t>
  </si>
  <si>
    <t>BAV: Bedarf TU anrechenb. Beiträge: Rollstuhlplätze in 14 Glacier-Express-Panoramawagen total 326'000 / Behinderten-WC in 4 1.-Klass Panoramawagen (da üblicherweise längere Fahrten in diesen Fahrzeugen verbracht werden als in S-Bahnwagen) total 906'000</t>
  </si>
  <si>
    <t>BAV: Bedarf TU anrechenb. Beiträge: 666'667.-  je NF-Zwischenwagen, insg. 7 = total 4'666'667</t>
  </si>
  <si>
    <t>BAV: Bedarf TU anrechenb. Beiträge: Einbau NF-Sänfte 1.1 Mio pro Komp = 11 Mio. gemäss Info RBS</t>
  </si>
  <si>
    <t>BAV: Bedarf TU anrechenb. Beiträge: Klapptritteinbau an einem Türpaar pro Komposition an insg. 38 GTW 2/8</t>
  </si>
  <si>
    <t>BAV: Bedarf TU anrechenb. Beiträge:vorbehältlich der Verfügbarkeit der entsprechenden Kreditmittel in diesem Jahr (AB-Rollmaterialkonzeptänderung 2013): Total 4 Fahrzeuge à je 666'667</t>
  </si>
  <si>
    <t>BAV: Bedarf TU anrechenb. Beiträge:666'666.- für vorgezogene Neubeschaffung oder Übernahme eines bestehenden BehiG-konformen Fahrzeugs (voraussichtlich 1 MVR-GTW Serie 7001 - 7004)</t>
  </si>
  <si>
    <t>BAV: Bedarf TU anrechenb. Beiträge:RhB insgesamt: Anteil für vorzeitige Beschaffung von 9 neuen Triebwagen und 20 Zwischenwagen (je 666'600 pro Fz.).
8 Mio 2007 = Etappe I + II</t>
  </si>
  <si>
    <t>BAV: Bedarf TU anrechenb. Beiträge:RhB insgesamt: Anteil für vorzeitige Beschaffung von 9 neuen Triebwagen und 20 Zwischenwagen (je 666'600 pro Fz.).
4,0 Mio 2011 / 2012 = Etappe III</t>
  </si>
  <si>
    <t>BAV: Bedarf TU anrechenb. Beiträge:/ imputable: Bundeanteil: Total: 27.1 Mio, auch nach Einführung NFA. Bundesbeitrag 2008: 9,1 Mio, Rest zusammen mit den Kantonen</t>
  </si>
  <si>
    <t>BAV: Bedarf TU anrechenb. Beiträge:/ imputable: Bundeanteil: Total: 27.1 Mio, auch nach Einführung NFA. Bundesbeitrag 2008: 9,1 Mio, Rest zusammen mit den Kantonen.</t>
  </si>
  <si>
    <t>BOB: Blendfreie Beleuchtung, Taster aussen, Taster für Türöffnung (und Haltanforderung), Netzplan, optische Information im Fahrzeug: 97'750, Stufen und Trittkanten markiert: 11'500.
BAV: Kundeninformation, Billettautomaten, Türöffnungsdrücker, Beleuchtung, Markierungen etc. werden nicht durch BehiG-ZR unterstützt (--&gt; ordentliche Finanzierung)
BAV: Bedarf TU anrechenb. Beiträge: 3x Anpassungen Türen (auf P35) je 80'000</t>
  </si>
  <si>
    <t>SZU: Niveaugleicher Einstieg ab P55 nur mit neuen Niederflur-Doppelstockwagen möglich
Spaltüberbrückung erfordert zB. Schiebetritt Daher jeden Pendelzug mit Niederflur-Dosto verstärken Beschaffung von Niederflur-Doppelstockwagen ist abhängig von SBB-Bestellung.                                                                                                 BAV: ist nicht kostengünstigste Massnahme. BAV: Bedarf TU anrechenb. Beiträge: 0.7 Mio Umbaukosten für Tiefeinstieg pro Komp: 8 x 0.7 Mio = 5.6 Mio. (Finanzierung je 4 2009 und 2010)</t>
  </si>
  <si>
    <t>BOB: 184'000
BAV: Kundeninformation, Billettautomaten, Türöffnungsdrücker, Beleuchtung etc. werden nicht durch BehiG-ZR unterstützt (--&gt; ordentliche Finanzierung). BAV: Bedarf TU anrechenb. Beiträge:  5 Faltrampen (z.B. DECPAC) à 1'000</t>
  </si>
  <si>
    <t>WAB: 13'800
BAV: Kundeninformation, Billettautomaten, Türöffnungsdrücker, Beleuchtung etc. werden nicht durch BehiG-ZR unterstützt (--&gt; ordentliche Finanzierung). BAV: Bedarf TU anrechenb. Beiträge:  4 mobile Faltrampen (DECPAC) à 1'000</t>
  </si>
  <si>
    <t>WAB: 24'150
BAV: Kundeninformation, Billettautomaten, Türöffnungsdrücker, Beleuchtung etc. werden nicht durch BehiG-ZR unterstützt (--&gt; ordentliche Finanzierung). BAV: Bedarf TU anrechenb. Beiträge: BAV: Bedarf TU anrechenb. Beiträge:  2 mobile Faltrampen (DECPAC) à 1'000</t>
  </si>
  <si>
    <t xml:space="preserve">BAV: Es gilt der KAV-Investititonsschlüssel, da für Seilbahnunternehmen kein Unterschied zwischen Investitions- und Betriebskosten gemacht wird BAV: Bedarf TU anrechenb. Beiträge:  1/3 der Beschaffungskosten der beiden Wagen (3'443'200.-). </t>
  </si>
  <si>
    <t>BAV: Besoin TE contrib. imputables: Part pour l'acquisition anticipée (=33.3%) de 5 nouvelles voitures intermédiaires (pour besoin ordinaire, prix d'achat 2 Mio.) = 2'000'000.-
Toute répartition des parts cantonales en tranches (2015/2016) doivent être concertées directement entre les différents cantons et l'entreprise.</t>
  </si>
  <si>
    <t>BAV: Besoin TE contrib. imputables: Part pour l'acquisition anticipée (=33.3%) de 5 nouvelles voitures intermédiaires (pour besoin ordinaire, prix d'achat 2 Mio.) = 3'333'333.-
Toute répartition des parts cantonales en tranches (2015/2016) doivent être concertées directement entre les différents cantons et l'entreprise.</t>
  </si>
  <si>
    <t>BAV: Besoin TE contrib. imputables: Part pour l'acquisition anticipée (=33.3%) de 6 nouvelles voitures intermédiaires (pour besoin ordinaire, prix d'achat 2 Mio par voiture) = 4'000'000-. Répartition: 2 voitures chaque an 2008, 2009, 2010. Pour 2008, les clés 2007 font foi (mise en vigueur des nouvelles clés seulement en décembre 2007).</t>
  </si>
  <si>
    <t>MVR: Seulement si accès fauteuil obligatoire
BAV: Besoin TE contrib. imputables: 2 x ULift à 90'000</t>
  </si>
  <si>
    <t>BAV: Besoin TE contrib. imputables: Part pour l'acquisition anticipée (=33.3%) de 5 nouvelles rames à plancher bas (pour besoin ordinaire, prix d'achat 2 Mio par voiture) =3'333'333.-</t>
  </si>
  <si>
    <t>BAV: Besoin TE contrib. imputables: 2 marches escamotables (Schiebetritte) par rame (80'000 par rame)</t>
  </si>
  <si>
    <t>BAV: Besoin TE contrib. imputables: total 3 unités à CHF 666'666.- = CHF 200'000 2014-2016</t>
  </si>
  <si>
    <t>TRAVYS: A utiliser pour offrir un accès surbaissé sur rame avec Be 4/4 1 ou 2. Remplacement Bt 51comme véhicule de base.
BAV: Besoin TE contrib. imputables: Part pour l'acquisition anticipée (=33.3%): 641'600.-</t>
  </si>
  <si>
    <t>BAV: communication, indications et éclairage ne seront pas soutenues par crédit LHand. BAV: Besoin TE contrib. imputables: 1 Ulift 90'000 + 1 adaptation des portes et chaises à 30'000 + WC 230'000</t>
  </si>
  <si>
    <t>BAV: communication, indications et éclairage ne seront pas soutenues par crédit LHand. BAV: Besoin TE contrib. imputables: 3 Ulift à 90'000 + 3 adaptations des portes et chaises à 30'000 + 3 WC à 230'000</t>
  </si>
  <si>
    <t>BAV: Besoin TE contrib. imputables 1 unité (666'666).- pour remplacement de l'automotrice BDeh 2/4 N° 75. Année de versement provisoire</t>
  </si>
  <si>
    <t>Total 13</t>
  </si>
  <si>
    <t>LEB</t>
  </si>
  <si>
    <t>BAV: imputable 666'667 par unité</t>
  </si>
  <si>
    <t>BAV: Bedarf TU anrechenb. Beiträge:RhB insgesamt: Anteil für vorzeitige Beschaffung von 9 neuen Triebwagen und 20 Zwischenwagen (je 666'600 pro Fz.).
7,33 Mio 2016 - 2019 = Etappe IV</t>
  </si>
  <si>
    <t>BAV: imputable: 666'667 par unité (2019/2020: total 3)</t>
  </si>
  <si>
    <t>GTW AJU Klapptritteinbau</t>
  </si>
  <si>
    <t>BAV: Einbau Klapptritt, Kostenschätzung gem. SBB/Stadler 1'225'140.- plus MWSt für total 13 Fz.</t>
  </si>
  <si>
    <t>FART</t>
  </si>
  <si>
    <t>total 4</t>
  </si>
  <si>
    <t>insg. 15</t>
  </si>
  <si>
    <t>GTW Seetal: Umbau</t>
  </si>
  <si>
    <t>BAV: Anpassung GTW-Seetal an Einstieg sowohl ab P35 als auch P55. SBB: 15 Fahrzeuge, Thurbo: 2 Fahrzeuge</t>
  </si>
  <si>
    <t>BAV: Anpassung GTW-Seetal an Einstieg sowohl ab P35 als auch P55. SBB: 15 Fahrzeuge (insg. CHF 3'800'000), Thurbo: 2 Fahrzeuge</t>
  </si>
  <si>
    <t>Achat anticipé de 3 rames à plancher surbaissé</t>
  </si>
  <si>
    <t>insg. 2</t>
  </si>
  <si>
    <t>4 nuove unità a pianale ribassato (sostituzione AB e4/8) per il servizio regionale Locarno - Camedo</t>
  </si>
  <si>
    <t>TPC-al</t>
  </si>
  <si>
    <t>3 unités (remplacement des 311/312/313)</t>
  </si>
  <si>
    <t>TPC-asd</t>
  </si>
  <si>
    <t>TPC-bvb</t>
  </si>
  <si>
    <t>3 voitures (conformité des 91/92/93) et une rame</t>
  </si>
  <si>
    <t>BAV: Bedarf TU anrechenb. Beiträge:vorbehältlich der Verfügbarkeit der entsprechenden Kreditmittel in diesem Jahr: Einbau Klapptritte à ca. 160'000 je Fahrzeug</t>
  </si>
  <si>
    <t xml:space="preserve">BAV: Fabbisogno IT contributi computabili: quota per l'acquisto anticipato di 4 nuove unità, 4 x 666'666 = totale 2'666'666 per il servizio regionale Locarno - Camedo. I contributi federali saranno versati in due tranche (2021: 1.000.000; 2023: 520.000). Se il Cantone TI verserà il suo contributo anche in più di una tranche è una questione da convenire tra FART e il Cantone TI.  </t>
  </si>
  <si>
    <t>TRN-cmn</t>
  </si>
  <si>
    <t>TMR</t>
  </si>
  <si>
    <t>BAV: Besoin TE contrib. imputables: total 3 unités à CHF 666'667.- = CHF 666'667 en 2022 et 1'333'333 en 2023</t>
  </si>
  <si>
    <t>3 unités (remplacement des 401/402/403/404)</t>
  </si>
  <si>
    <t>BAV: Besoin TE contrib. imputables: total 3 unités à CHF 666'667.- = CHF 1'000'000 en 2022 et 1'000'000 en 2023</t>
  </si>
  <si>
    <t>BAV: Étant donné que la livraison de véhicules conformes à la LHand pour la ligne AL n'est pas possible avant le 31.12.2023 et qu'aucune aide financière LHand de la Confédération ne sera plus disponible à ce moment-là, l est n'est pas possible d'allouer des moyens LHand</t>
  </si>
  <si>
    <t>BAV: Étant donné que la livraison de véhicules conformes à la LHand pour la ligne BVB n'est pas possible avant le 31.12.2023 et qu'aucune aide financière LHand de la Confédération ne sera plus disponible à ce moment-là, l est n'est pas possible d'allouer des moyens LHand</t>
  </si>
  <si>
    <t>Einbau Klapptritt bei AB-RHB-Triebwagen BDeh 3/6</t>
  </si>
  <si>
    <t>BAV: répartition (tranches) provisoire</t>
  </si>
  <si>
    <t>Total 2</t>
  </si>
  <si>
    <t>Total 2 unités pour ligne 222 (CDFX - PDM) 2022 et 2023</t>
  </si>
  <si>
    <t>Adaptation des 2 Z870</t>
  </si>
  <si>
    <t>total 2</t>
  </si>
  <si>
    <t>BAV: Besoin TE contrib. imputables: Installation de marches escamotables aux 2 Z870 exitantes</t>
  </si>
  <si>
    <t>AB: Verzicht auf Klapptritteinbau, da 2026/2027 ohnehin ein neues, BehiG-konformes Fahrzeug beschafft und zudem der Bahnhof Heiden umgebaut wird. Mit dem Klapptritteinbau wäre lediglich in Rorschach und Rorschach Hafen ein autonomer Ein-/Ausstieg gewährleistet. Die AB hat als Überbrückungsmassnahme Hilfestellung zu leisten.</t>
  </si>
  <si>
    <t>Umsetzungskonzept BehiG-Finanzhilfen: Rollmaterial / Projet de mise en œuvre aides financières LHand: matériel roulant. Stand / état 15.12.2022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</si>
</sst>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</cellStyleXfs>
  <cellXfs count="293">
    <xf numFmtId="0" fontId="0" fillId="0" borderId="0" xfId="0"/>
    <xf numFmtId="0" fontId="2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3" fontId="3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horizontal="left" vertical="top"/>
    </xf>
    <xf numFmtId="1" fontId="3" fillId="0" borderId="0" xfId="0" applyNumberFormat="1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" fontId="4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 wrapText="1"/>
    </xf>
    <xf numFmtId="3" fontId="5" fillId="4" borderId="2" xfId="0" applyNumberFormat="1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5" borderId="2" xfId="0" applyNumberFormat="1" applyFont="1" applyFill="1" applyBorder="1" applyAlignment="1">
      <alignment horizontal="left" vertical="top" wrapText="1"/>
    </xf>
    <xf numFmtId="1" fontId="5" fillId="2" borderId="2" xfId="0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3" fontId="5" fillId="6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3" fontId="5" fillId="4" borderId="4" xfId="0" applyNumberFormat="1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wrapText="1"/>
    </xf>
    <xf numFmtId="0" fontId="5" fillId="5" borderId="4" xfId="0" applyNumberFormat="1" applyFont="1" applyFill="1" applyBorder="1" applyAlignment="1">
      <alignment horizontal="left" vertical="top" wrapText="1"/>
    </xf>
    <xf numFmtId="1" fontId="5" fillId="2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3" fontId="5" fillId="6" borderId="4" xfId="0" applyNumberFormat="1" applyFont="1" applyFill="1" applyBorder="1" applyAlignment="1" applyProtection="1">
      <alignment horizontal="left" vertical="top" wrapText="1"/>
    </xf>
    <xf numFmtId="1" fontId="5" fillId="6" borderId="4" xfId="0" applyNumberFormat="1" applyFont="1" applyFill="1" applyBorder="1" applyAlignment="1" applyProtection="1">
      <alignment horizontal="left" vertical="top" wrapText="1"/>
    </xf>
    <xf numFmtId="0" fontId="0" fillId="7" borderId="4" xfId="0" applyNumberForma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3" fontId="6" fillId="4" borderId="5" xfId="0" applyNumberFormat="1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5" xfId="0" applyNumberFormat="1" applyFont="1" applyFill="1" applyBorder="1" applyAlignment="1">
      <alignment horizontal="left" vertical="top" wrapText="1"/>
    </xf>
    <xf numFmtId="1" fontId="6" fillId="2" borderId="5" xfId="0" applyNumberFormat="1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3" fontId="5" fillId="6" borderId="5" xfId="0" applyNumberFormat="1" applyFont="1" applyFill="1" applyBorder="1" applyAlignment="1" applyProtection="1">
      <alignment horizontal="left" vertical="top" wrapText="1"/>
    </xf>
    <xf numFmtId="1" fontId="5" fillId="6" borderId="5" xfId="0" applyNumberFormat="1" applyFont="1" applyFill="1" applyBorder="1" applyAlignment="1" applyProtection="1">
      <alignment horizontal="left" vertical="top" wrapText="1"/>
    </xf>
    <xf numFmtId="3" fontId="6" fillId="8" borderId="5" xfId="0" applyNumberFormat="1" applyFont="1" applyFill="1" applyBorder="1" applyAlignment="1" applyProtection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3" fontId="6" fillId="4" borderId="4" xfId="0" applyNumberFormat="1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4" xfId="0" applyNumberFormat="1" applyFont="1" applyFill="1" applyBorder="1" applyAlignment="1">
      <alignment horizontal="left" vertical="top" wrapText="1"/>
    </xf>
    <xf numFmtId="1" fontId="6" fillId="2" borderId="4" xfId="0" applyNumberFormat="1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3" fontId="6" fillId="8" borderId="4" xfId="0" applyNumberFormat="1" applyFont="1" applyFill="1" applyBorder="1" applyAlignment="1" applyProtection="1">
      <alignment horizontal="left" vertical="top" wrapText="1"/>
    </xf>
    <xf numFmtId="0" fontId="6" fillId="7" borderId="4" xfId="0" applyNumberFormat="1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3" fontId="5" fillId="6" borderId="7" xfId="0" applyNumberFormat="1" applyFont="1" applyFill="1" applyBorder="1" applyAlignment="1" applyProtection="1">
      <alignment horizontal="left" vertical="top" wrapText="1"/>
    </xf>
    <xf numFmtId="3" fontId="5" fillId="6" borderId="6" xfId="0" applyNumberFormat="1" applyFont="1" applyFill="1" applyBorder="1" applyAlignment="1" applyProtection="1">
      <alignment horizontal="left" vertical="top" wrapText="1"/>
    </xf>
    <xf numFmtId="1" fontId="5" fillId="6" borderId="7" xfId="0" applyNumberFormat="1" applyFont="1" applyFill="1" applyBorder="1" applyAlignment="1" applyProtection="1">
      <alignment horizontal="left" vertical="top" wrapText="1"/>
    </xf>
    <xf numFmtId="3" fontId="6" fillId="8" borderId="6" xfId="0" applyNumberFormat="1" applyFont="1" applyFill="1" applyBorder="1" applyAlignment="1" applyProtection="1">
      <alignment horizontal="left" vertical="top" wrapText="1"/>
    </xf>
    <xf numFmtId="0" fontId="6" fillId="7" borderId="7" xfId="0" applyNumberFormat="1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7" borderId="5" xfId="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3" fontId="0" fillId="4" borderId="7" xfId="0" applyNumberFormat="1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1" fontId="0" fillId="5" borderId="7" xfId="0" applyNumberFormat="1" applyFill="1" applyBorder="1" applyAlignment="1">
      <alignment horizontal="left" vertical="top" wrapText="1"/>
    </xf>
    <xf numFmtId="1" fontId="0" fillId="2" borderId="7" xfId="0" applyNumberForma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3" fontId="0" fillId="4" borderId="5" xfId="0" applyNumberFormat="1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1" fontId="0" fillId="5" borderId="5" xfId="0" applyNumberFormat="1" applyFill="1" applyBorder="1" applyAlignment="1">
      <alignment horizontal="left" vertical="top" wrapText="1"/>
    </xf>
    <xf numFmtId="1" fontId="0" fillId="2" borderId="5" xfId="0" applyNumberForma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7" borderId="5" xfId="0" applyNumberFormat="1" applyFill="1" applyBorder="1" applyAlignment="1">
      <alignment horizontal="left" vertical="top" wrapText="1"/>
    </xf>
    <xf numFmtId="3" fontId="6" fillId="8" borderId="7" xfId="0" applyNumberFormat="1" applyFont="1" applyFill="1" applyBorder="1" applyAlignment="1" applyProtection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3" fontId="0" fillId="4" borderId="4" xfId="0" applyNumberForma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1" fontId="0" fillId="5" borderId="4" xfId="0" applyNumberFormat="1" applyFill="1" applyBorder="1" applyAlignment="1">
      <alignment horizontal="left" vertical="top" wrapText="1"/>
    </xf>
    <xf numFmtId="1" fontId="0" fillId="2" borderId="4" xfId="0" applyNumberForma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3" fontId="0" fillId="4" borderId="7" xfId="0" applyNumberForma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3" fontId="0" fillId="4" borderId="5" xfId="0" applyNumberFormat="1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3" fontId="0" fillId="4" borderId="4" xfId="0" applyNumberFormat="1" applyFill="1" applyBorder="1" applyAlignment="1">
      <alignment horizontal="left" vertical="top"/>
    </xf>
    <xf numFmtId="0" fontId="0" fillId="7" borderId="7" xfId="0" applyNumberFormat="1" applyFill="1" applyBorder="1" applyAlignment="1">
      <alignment horizontal="left" vertical="top" wrapText="1"/>
    </xf>
    <xf numFmtId="3" fontId="5" fillId="6" borderId="8" xfId="0" applyNumberFormat="1" applyFont="1" applyFill="1" applyBorder="1" applyAlignment="1" applyProtection="1">
      <alignment horizontal="left" vertical="top" wrapText="1"/>
    </xf>
    <xf numFmtId="1" fontId="5" fillId="6" borderId="8" xfId="0" applyNumberFormat="1" applyFont="1" applyFill="1" applyBorder="1" applyAlignment="1" applyProtection="1">
      <alignment horizontal="left" vertical="top" wrapText="1"/>
    </xf>
    <xf numFmtId="3" fontId="6" fillId="8" borderId="8" xfId="0" applyNumberFormat="1" applyFont="1" applyFill="1" applyBorder="1" applyAlignment="1" applyProtection="1">
      <alignment horizontal="left" vertical="top" wrapText="1"/>
    </xf>
    <xf numFmtId="0" fontId="1" fillId="7" borderId="7" xfId="0" applyNumberFormat="1" applyFont="1" applyFill="1" applyBorder="1" applyAlignment="1">
      <alignment horizontal="left" vertical="top" wrapText="1"/>
    </xf>
    <xf numFmtId="1" fontId="6" fillId="5" borderId="5" xfId="0" applyNumberFormat="1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3" fontId="0" fillId="4" borderId="6" xfId="0" applyNumberFormat="1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1" fontId="0" fillId="5" borderId="6" xfId="0" applyNumberFormat="1" applyFill="1" applyBorder="1" applyAlignment="1">
      <alignment horizontal="left" vertical="top" wrapText="1"/>
    </xf>
    <xf numFmtId="1" fontId="0" fillId="2" borderId="6" xfId="0" applyNumberFormat="1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1" fontId="5" fillId="6" borderId="6" xfId="0" applyNumberFormat="1" applyFont="1" applyFill="1" applyBorder="1" applyAlignment="1" applyProtection="1">
      <alignment horizontal="left" vertical="top" wrapText="1"/>
    </xf>
    <xf numFmtId="0" fontId="0" fillId="7" borderId="6" xfId="0" applyNumberForma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7" borderId="6" xfId="0" applyNumberFormat="1" applyFont="1" applyFill="1" applyBorder="1" applyAlignment="1">
      <alignment horizontal="left" vertical="top" wrapText="1"/>
    </xf>
    <xf numFmtId="1" fontId="5" fillId="2" borderId="7" xfId="0" applyNumberFormat="1" applyFont="1" applyFill="1" applyBorder="1" applyAlignment="1">
      <alignment vertical="top" wrapText="1"/>
    </xf>
    <xf numFmtId="3" fontId="5" fillId="6" borderId="7" xfId="0" applyNumberFormat="1" applyFont="1" applyFill="1" applyBorder="1" applyAlignment="1">
      <alignment horizontal="left" vertical="top" wrapText="1"/>
    </xf>
    <xf numFmtId="1" fontId="5" fillId="6" borderId="7" xfId="0" applyNumberFormat="1" applyFont="1" applyFill="1" applyBorder="1" applyAlignment="1">
      <alignment horizontal="left" vertical="top" wrapText="1"/>
    </xf>
    <xf numFmtId="3" fontId="0" fillId="8" borderId="7" xfId="0" applyNumberFormat="1" applyFill="1" applyBorder="1" applyAlignment="1">
      <alignment horizontal="left" vertical="top" wrapText="1"/>
    </xf>
    <xf numFmtId="1" fontId="6" fillId="2" borderId="7" xfId="0" applyNumberFormat="1" applyFont="1" applyFill="1" applyBorder="1" applyAlignment="1">
      <alignment vertical="top" wrapText="1"/>
    </xf>
    <xf numFmtId="0" fontId="0" fillId="7" borderId="8" xfId="0" applyNumberFormat="1" applyFill="1" applyBorder="1" applyAlignment="1">
      <alignment horizontal="left" vertical="top" wrapText="1"/>
    </xf>
    <xf numFmtId="3" fontId="6" fillId="8" borderId="10" xfId="0" applyNumberFormat="1" applyFont="1" applyFill="1" applyBorder="1" applyAlignment="1" applyProtection="1">
      <alignment horizontal="left" vertical="top" wrapText="1"/>
    </xf>
    <xf numFmtId="3" fontId="5" fillId="6" borderId="11" xfId="0" applyNumberFormat="1" applyFont="1" applyFill="1" applyBorder="1" applyAlignment="1" applyProtection="1">
      <alignment horizontal="left" vertical="top" wrapText="1"/>
    </xf>
    <xf numFmtId="3" fontId="6" fillId="8" borderId="11" xfId="0" applyNumberFormat="1" applyFont="1" applyFill="1" applyBorder="1" applyAlignment="1" applyProtection="1">
      <alignment horizontal="left" vertical="top" wrapText="1"/>
    </xf>
    <xf numFmtId="3" fontId="6" fillId="8" borderId="12" xfId="0" applyNumberFormat="1" applyFont="1" applyFill="1" applyBorder="1" applyAlignment="1" applyProtection="1">
      <alignment horizontal="left" vertical="top" wrapText="1"/>
    </xf>
    <xf numFmtId="3" fontId="5" fillId="6" borderId="9" xfId="0" applyNumberFormat="1" applyFont="1" applyFill="1" applyBorder="1" applyAlignment="1" applyProtection="1">
      <alignment horizontal="left" vertical="top" wrapText="1"/>
    </xf>
    <xf numFmtId="3" fontId="5" fillId="6" borderId="4" xfId="0" applyNumberFormat="1" applyFont="1" applyFill="1" applyBorder="1" applyAlignment="1">
      <alignment horizontal="left" vertical="top" wrapText="1"/>
    </xf>
    <xf numFmtId="1" fontId="5" fillId="6" borderId="4" xfId="0" applyNumberFormat="1" applyFont="1" applyFill="1" applyBorder="1" applyAlignment="1">
      <alignment horizontal="left" vertical="top" wrapText="1"/>
    </xf>
    <xf numFmtId="3" fontId="5" fillId="6" borderId="5" xfId="0" applyNumberFormat="1" applyFont="1" applyFill="1" applyBorder="1" applyAlignment="1">
      <alignment horizontal="left" vertical="top" wrapText="1"/>
    </xf>
    <xf numFmtId="1" fontId="5" fillId="6" borderId="5" xfId="0" applyNumberFormat="1" applyFont="1" applyFill="1" applyBorder="1" applyAlignment="1">
      <alignment horizontal="left" vertical="top" wrapText="1"/>
    </xf>
    <xf numFmtId="3" fontId="0" fillId="8" borderId="5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/>
    </xf>
    <xf numFmtId="0" fontId="9" fillId="0" borderId="1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vertical="top" wrapText="1"/>
    </xf>
    <xf numFmtId="0" fontId="0" fillId="4" borderId="10" xfId="0" applyFill="1" applyBorder="1" applyAlignment="1">
      <alignment horizontal="left" vertical="top" wrapText="1"/>
    </xf>
    <xf numFmtId="3" fontId="5" fillId="6" borderId="10" xfId="0" applyNumberFormat="1" applyFont="1" applyFill="1" applyBorder="1" applyAlignment="1" applyProtection="1">
      <alignment horizontal="left" vertical="top" wrapText="1"/>
    </xf>
    <xf numFmtId="1" fontId="5" fillId="6" borderId="10" xfId="0" applyNumberFormat="1" applyFont="1" applyFill="1" applyBorder="1" applyAlignment="1" applyProtection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0" fillId="5" borderId="10" xfId="0" applyFill="1" applyBorder="1" applyAlignment="1">
      <alignment horizontal="left" vertical="top" wrapText="1"/>
    </xf>
    <xf numFmtId="1" fontId="0" fillId="5" borderId="10" xfId="0" applyNumberFormat="1" applyFill="1" applyBorder="1" applyAlignment="1">
      <alignment horizontal="left" vertical="top" wrapText="1"/>
    </xf>
    <xf numFmtId="1" fontId="0" fillId="2" borderId="10" xfId="0" applyNumberFormat="1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6" fillId="7" borderId="10" xfId="0" applyNumberFormat="1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3" fontId="0" fillId="4" borderId="6" xfId="0" applyNumberFormat="1" applyFill="1" applyBorder="1" applyAlignment="1">
      <alignment horizontal="left" vertical="top"/>
    </xf>
    <xf numFmtId="0" fontId="5" fillId="5" borderId="5" xfId="0" applyFont="1" applyFill="1" applyBorder="1" applyAlignment="1">
      <alignment horizontal="left" vertical="top" wrapText="1"/>
    </xf>
    <xf numFmtId="0" fontId="5" fillId="5" borderId="5" xfId="0" applyNumberFormat="1" applyFont="1" applyFill="1" applyBorder="1" applyAlignment="1">
      <alignment horizontal="left" vertical="top" wrapText="1"/>
    </xf>
    <xf numFmtId="1" fontId="5" fillId="2" borderId="5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3" fontId="5" fillId="4" borderId="5" xfId="0" applyNumberFormat="1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9" fontId="5" fillId="8" borderId="4" xfId="0" applyNumberFormat="1" applyFont="1" applyFill="1" applyBorder="1" applyAlignment="1" applyProtection="1">
      <alignment horizontal="left" vertical="top" wrapText="1"/>
    </xf>
    <xf numFmtId="9" fontId="5" fillId="8" borderId="5" xfId="0" applyNumberFormat="1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3" fontId="0" fillId="4" borderId="8" xfId="0" applyNumberFormat="1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1" fontId="0" fillId="5" borderId="8" xfId="0" applyNumberFormat="1" applyFill="1" applyBorder="1" applyAlignment="1">
      <alignment horizontal="left" vertical="top" wrapText="1"/>
    </xf>
    <xf numFmtId="1" fontId="0" fillId="2" borderId="8" xfId="0" applyNumberFormat="1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3" fontId="0" fillId="4" borderId="20" xfId="0" applyNumberFormat="1" applyFill="1" applyBorder="1" applyAlignment="1">
      <alignment horizontal="left" vertical="top" wrapText="1"/>
    </xf>
    <xf numFmtId="0" fontId="0" fillId="5" borderId="20" xfId="0" applyFill="1" applyBorder="1" applyAlignment="1">
      <alignment horizontal="left" vertical="top" wrapText="1"/>
    </xf>
    <xf numFmtId="1" fontId="0" fillId="5" borderId="20" xfId="0" applyNumberFormat="1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left" vertical="top" wrapText="1"/>
    </xf>
    <xf numFmtId="0" fontId="0" fillId="3" borderId="20" xfId="0" applyFill="1" applyBorder="1" applyAlignment="1">
      <alignment horizontal="left" vertical="top" wrapText="1"/>
    </xf>
    <xf numFmtId="3" fontId="5" fillId="6" borderId="20" xfId="0" applyNumberFormat="1" applyFont="1" applyFill="1" applyBorder="1" applyAlignment="1" applyProtection="1">
      <alignment horizontal="left" vertical="top" wrapText="1"/>
    </xf>
    <xf numFmtId="1" fontId="5" fillId="6" borderId="20" xfId="0" applyNumberFormat="1" applyFont="1" applyFill="1" applyBorder="1" applyAlignment="1" applyProtection="1">
      <alignment horizontal="left" vertical="top" wrapText="1"/>
    </xf>
    <xf numFmtId="3" fontId="6" fillId="8" borderId="20" xfId="0" applyNumberFormat="1" applyFont="1" applyFill="1" applyBorder="1" applyAlignment="1" applyProtection="1">
      <alignment horizontal="left" vertical="top" wrapText="1"/>
    </xf>
    <xf numFmtId="0" fontId="0" fillId="7" borderId="20" xfId="0" applyNumberForma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3" fontId="6" fillId="4" borderId="7" xfId="0" applyNumberFormat="1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6" fillId="5" borderId="7" xfId="0" applyNumberFormat="1" applyFont="1" applyFill="1" applyBorder="1" applyAlignment="1">
      <alignment horizontal="left" vertical="top" wrapText="1"/>
    </xf>
    <xf numFmtId="1" fontId="6" fillId="2" borderId="7" xfId="0" applyNumberFormat="1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top" wrapText="1"/>
    </xf>
    <xf numFmtId="0" fontId="6" fillId="5" borderId="8" xfId="0" applyNumberFormat="1" applyFont="1" applyFill="1" applyBorder="1" applyAlignment="1">
      <alignment horizontal="left" vertical="top" wrapText="1"/>
    </xf>
    <xf numFmtId="1" fontId="6" fillId="2" borderId="8" xfId="0" applyNumberFormat="1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3" fontId="5" fillId="4" borderId="6" xfId="0" applyNumberFormat="1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6" xfId="0" applyNumberFormat="1" applyFont="1" applyFill="1" applyBorder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3" fontId="5" fillId="8" borderId="6" xfId="0" applyNumberFormat="1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3" fontId="0" fillId="8" borderId="4" xfId="0" applyNumberForma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3" fontId="5" fillId="4" borderId="7" xfId="0" applyNumberFormat="1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7" xfId="0" applyNumberFormat="1" applyFont="1" applyFill="1" applyBorder="1" applyAlignment="1">
      <alignment horizontal="left" vertical="top" wrapText="1"/>
    </xf>
    <xf numFmtId="1" fontId="5" fillId="2" borderId="7" xfId="0" applyNumberFormat="1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1" fontId="5" fillId="6" borderId="24" xfId="0" applyNumberFormat="1" applyFont="1" applyFill="1" applyBorder="1" applyAlignment="1" applyProtection="1">
      <alignment horizontal="left" vertical="top" wrapText="1"/>
    </xf>
    <xf numFmtId="3" fontId="5" fillId="8" borderId="23" xfId="0" applyNumberFormat="1" applyFont="1" applyFill="1" applyBorder="1" applyAlignment="1" applyProtection="1">
      <alignment horizontal="left" vertical="top" wrapText="1"/>
    </xf>
    <xf numFmtId="0" fontId="0" fillId="7" borderId="25" xfId="0" applyNumberFormat="1" applyFill="1" applyBorder="1" applyAlignment="1">
      <alignment horizontal="left" vertical="top" wrapText="1"/>
    </xf>
    <xf numFmtId="9" fontId="5" fillId="8" borderId="7" xfId="0" applyNumberFormat="1" applyFont="1" applyFill="1" applyBorder="1" applyAlignment="1" applyProtection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3" fontId="5" fillId="6" borderId="3" xfId="0" applyNumberFormat="1" applyFont="1" applyFill="1" applyBorder="1" applyAlignment="1" applyProtection="1">
      <alignment horizontal="left" vertical="top" wrapText="1"/>
    </xf>
    <xf numFmtId="1" fontId="10" fillId="6" borderId="24" xfId="0" applyNumberFormat="1" applyFont="1" applyFill="1" applyBorder="1" applyAlignment="1" applyProtection="1">
      <alignment horizontal="left" vertical="top" wrapText="1"/>
    </xf>
    <xf numFmtId="0" fontId="5" fillId="7" borderId="25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7" borderId="23" xfId="0" applyNumberFormat="1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3" fontId="0" fillId="4" borderId="7" xfId="0" quotePrefix="1" applyNumberForma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3" fontId="0" fillId="4" borderId="10" xfId="0" applyNumberForma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7" borderId="4" xfId="0" applyNumberFormat="1" applyFont="1" applyFill="1" applyBorder="1" applyAlignment="1">
      <alignment horizontal="left" vertical="top" wrapText="1"/>
    </xf>
    <xf numFmtId="3" fontId="1" fillId="8" borderId="7" xfId="0" applyNumberFormat="1" applyFont="1" applyFill="1" applyBorder="1" applyAlignment="1" applyProtection="1">
      <alignment horizontal="left" vertical="top" wrapText="1"/>
    </xf>
    <xf numFmtId="0" fontId="0" fillId="0" borderId="7" xfId="0" applyFill="1" applyBorder="1" applyAlignment="1" applyProtection="1">
      <alignment horizontal="left" vertical="top" wrapText="1"/>
    </xf>
    <xf numFmtId="0" fontId="0" fillId="0" borderId="10" xfId="0" applyFill="1" applyBorder="1" applyAlignment="1" applyProtection="1">
      <alignment horizontal="left" vertical="top" wrapText="1"/>
    </xf>
    <xf numFmtId="3" fontId="1" fillId="8" borderId="10" xfId="0" applyNumberFormat="1" applyFont="1" applyFill="1" applyBorder="1" applyAlignment="1" applyProtection="1">
      <alignment horizontal="left" vertical="top" wrapText="1"/>
    </xf>
    <xf numFmtId="0" fontId="0" fillId="7" borderId="10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3" fontId="1" fillId="4" borderId="7" xfId="0" applyNumberFormat="1" applyFont="1" applyFill="1" applyBorder="1" applyAlignment="1">
      <alignment horizontal="left" vertical="top" wrapText="1"/>
    </xf>
    <xf numFmtId="3" fontId="1" fillId="8" borderId="6" xfId="0" applyNumberFormat="1" applyFont="1" applyFill="1" applyBorder="1" applyAlignment="1" applyProtection="1">
      <alignment horizontal="left" vertical="top" wrapText="1"/>
    </xf>
    <xf numFmtId="3" fontId="1" fillId="8" borderId="9" xfId="0" applyNumberFormat="1" applyFont="1" applyFill="1" applyBorder="1" applyAlignment="1" applyProtection="1">
      <alignment horizontal="left" vertical="top" wrapText="1"/>
    </xf>
    <xf numFmtId="3" fontId="1" fillId="8" borderId="13" xfId="0" applyNumberFormat="1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3" fontId="1" fillId="4" borderId="5" xfId="0" applyNumberFormat="1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1" fontId="1" fillId="5" borderId="5" xfId="0" applyNumberFormat="1" applyFont="1" applyFill="1" applyBorder="1" applyAlignment="1">
      <alignment horizontal="left" vertical="top" wrapText="1"/>
    </xf>
    <xf numFmtId="1" fontId="1" fillId="2" borderId="5" xfId="0" applyNumberFormat="1" applyFont="1" applyFill="1" applyBorder="1" applyAlignment="1">
      <alignment horizontal="left" vertical="top" wrapText="1"/>
    </xf>
    <xf numFmtId="3" fontId="1" fillId="8" borderId="5" xfId="0" applyNumberFormat="1" applyFont="1" applyFill="1" applyBorder="1" applyAlignment="1" applyProtection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1" fillId="7" borderId="5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7" borderId="8" xfId="0" applyNumberFormat="1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3" fontId="1" fillId="4" borderId="10" xfId="0" applyNumberFormat="1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10" xfId="0" applyNumberFormat="1" applyFont="1" applyFill="1" applyBorder="1" applyAlignment="1">
      <alignment horizontal="left" vertical="top" wrapText="1"/>
    </xf>
    <xf numFmtId="1" fontId="6" fillId="2" borderId="10" xfId="0" applyNumberFormat="1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3" fontId="0" fillId="4" borderId="5" xfId="0" quotePrefix="1" applyNumberFormat="1" applyFill="1" applyBorder="1" applyAlignment="1">
      <alignment horizontal="left" vertical="top" wrapText="1"/>
    </xf>
    <xf numFmtId="3" fontId="1" fillId="4" borderId="4" xfId="0" applyNumberFormat="1" applyFont="1" applyFill="1" applyBorder="1" applyAlignment="1">
      <alignment horizontal="left" vertical="top" wrapText="1"/>
    </xf>
    <xf numFmtId="0" fontId="1" fillId="7" borderId="10" xfId="0" applyNumberFormat="1" applyFont="1" applyFill="1" applyBorder="1" applyAlignment="1">
      <alignment horizontal="left" vertical="top" wrapText="1"/>
    </xf>
    <xf numFmtId="3" fontId="5" fillId="8" borderId="26" xfId="0" applyNumberFormat="1" applyFont="1" applyFill="1" applyBorder="1" applyAlignment="1" applyProtection="1">
      <alignment horizontal="center" vertical="top" wrapText="1"/>
    </xf>
    <xf numFmtId="3" fontId="5" fillId="8" borderId="27" xfId="0" applyNumberFormat="1" applyFont="1" applyFill="1" applyBorder="1" applyAlignment="1" applyProtection="1">
      <alignment horizontal="center" vertical="top" wrapText="1"/>
    </xf>
    <xf numFmtId="3" fontId="5" fillId="8" borderId="1" xfId="0" applyNumberFormat="1" applyFont="1" applyFill="1" applyBorder="1" applyAlignment="1" applyProtection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27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27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6" borderId="3" xfId="0" applyFont="1" applyFill="1" applyBorder="1" applyAlignment="1" applyProtection="1">
      <alignment horizontal="center" vertical="top" wrapText="1"/>
    </xf>
    <xf numFmtId="0" fontId="5" fillId="6" borderId="27" xfId="0" applyFont="1" applyFill="1" applyBorder="1" applyAlignment="1" applyProtection="1">
      <alignment horizontal="center" vertical="top" wrapText="1"/>
    </xf>
    <xf numFmtId="0" fontId="5" fillId="6" borderId="28" xfId="0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0">
    <cellStyle name="Dezimal 2" xfId="4" xr:uid="{00000000-0005-0000-0000-000000000000}"/>
    <cellStyle name="Dezimal 3" xfId="5" xr:uid="{00000000-0005-0000-0000-000001000000}"/>
    <cellStyle name="Komma 2" xfId="2" xr:uid="{00000000-0005-0000-0000-000002000000}"/>
    <cellStyle name="Prozent 2" xfId="6" xr:uid="{00000000-0005-0000-0000-000003000000}"/>
    <cellStyle name="Prozent 3" xfId="7" xr:uid="{00000000-0005-0000-0000-000004000000}"/>
    <cellStyle name="Prozent 4" xfId="3" xr:uid="{00000000-0005-0000-0000-000005000000}"/>
    <cellStyle name="Standard" xfId="0" builtinId="0"/>
    <cellStyle name="Standard 2" xfId="8" xr:uid="{00000000-0005-0000-0000-000007000000}"/>
    <cellStyle name="Standard 3" xfId="9" xr:uid="{00000000-0005-0000-0000-000008000000}"/>
    <cellStyle name="Standard 4" xfId="1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139</xdr:row>
      <xdr:rowOff>167640</xdr:rowOff>
    </xdr:from>
    <xdr:to>
      <xdr:col>7</xdr:col>
      <xdr:colOff>175260</xdr:colOff>
      <xdr:row>145</xdr:row>
      <xdr:rowOff>1082040</xdr:rowOff>
    </xdr:to>
    <xdr:sp macro="" textlink="">
      <xdr:nvSpPr>
        <xdr:cNvPr id="1686" name="AutoShape 6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/>
        </xdr:cNvSpPr>
      </xdr:nvSpPr>
      <xdr:spPr bwMode="auto">
        <a:xfrm>
          <a:off x="4640580" y="56601360"/>
          <a:ext cx="0" cy="33528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253"/>
  <sheetViews>
    <sheetView tabSelected="1" zoomScale="70" zoomScaleNormal="70" workbookViewId="0">
      <pane xSplit="13" ySplit="9" topLeftCell="N10" activePane="bottomRight" state="frozen"/>
      <selection pane="topRight" activeCell="N1" sqref="N1"/>
      <selection pane="bottomLeft" activeCell="A9" sqref="A9"/>
      <selection pane="bottomRight" activeCell="A9" sqref="A9"/>
    </sheetView>
  </sheetViews>
  <sheetFormatPr baseColWidth="10" defaultColWidth="11.44140625" defaultRowHeight="13.2" outlineLevelRow="1" outlineLevelCol="2"/>
  <cols>
    <col min="1" max="1" width="20.33203125" style="123" customWidth="1"/>
    <col min="2" max="2" width="33.33203125" style="123" hidden="1" customWidth="1" outlineLevel="1"/>
    <col min="3" max="3" width="34.6640625" style="123" customWidth="1" collapsed="1"/>
    <col min="4" max="4" width="12.6640625" style="124" customWidth="1"/>
    <col min="5" max="5" width="13.44140625" style="123" hidden="1" customWidth="1" outlineLevel="1"/>
    <col min="6" max="6" width="47.6640625" style="125" hidden="1" customWidth="1" outlineLevel="1"/>
    <col min="7" max="7" width="32.6640625" style="125" hidden="1" customWidth="1" outlineLevel="1"/>
    <col min="8" max="8" width="20.44140625" style="125" hidden="1" customWidth="1" outlineLevel="1"/>
    <col min="9" max="9" width="59" style="123" hidden="1" customWidth="1" outlineLevel="1"/>
    <col min="10" max="10" width="17.33203125" style="127" customWidth="1" collapsed="1"/>
    <col min="11" max="11" width="16.88671875" style="127" customWidth="1"/>
    <col min="12" max="12" width="15.5546875" style="127" customWidth="1"/>
    <col min="13" max="13" width="14.6640625" style="128" customWidth="1"/>
    <col min="14" max="14" width="11.6640625" style="124" hidden="1" customWidth="1" outlineLevel="2"/>
    <col min="15" max="15" width="10.5546875" style="124" hidden="1" customWidth="1" outlineLevel="2"/>
    <col min="16" max="16" width="10.88671875" style="124" hidden="1" customWidth="1" outlineLevel="2"/>
    <col min="17" max="17" width="12.109375" style="124" hidden="1" customWidth="1" outlineLevel="2"/>
    <col min="18" max="18" width="11.6640625" style="124" hidden="1" customWidth="1" outlineLevel="2"/>
    <col min="19" max="19" width="5.6640625" style="124" hidden="1" customWidth="1" outlineLevel="2"/>
    <col min="20" max="20" width="11.88671875" style="124" hidden="1" customWidth="1" outlineLevel="2"/>
    <col min="21" max="21" width="5.6640625" style="124" hidden="1" customWidth="1" outlineLevel="2"/>
    <col min="22" max="22" width="9.88671875" style="124" hidden="1" customWidth="1" outlineLevel="2"/>
    <col min="23" max="23" width="12.109375" style="124" hidden="1" customWidth="1" outlineLevel="2"/>
    <col min="24" max="24" width="9.88671875" style="124" hidden="1" customWidth="1" outlineLevel="2"/>
    <col min="25" max="25" width="10.109375" style="124" hidden="1" customWidth="1" outlineLevel="2"/>
    <col min="26" max="26" width="10.33203125" style="124" hidden="1" customWidth="1" outlineLevel="2"/>
    <col min="27" max="28" width="5.6640625" style="124" hidden="1" customWidth="1" outlineLevel="2"/>
    <col min="29" max="29" width="11.6640625" style="124" hidden="1" customWidth="1" outlineLevel="2"/>
    <col min="30" max="30" width="10.33203125" style="124" hidden="1" customWidth="1" outlineLevel="2"/>
    <col min="31" max="31" width="10.44140625" style="124" hidden="1" customWidth="1" outlineLevel="2"/>
    <col min="32" max="32" width="11.6640625" style="124" hidden="1" customWidth="1" outlineLevel="2"/>
    <col min="33" max="33" width="12.109375" style="124" hidden="1" customWidth="1" outlineLevel="2"/>
    <col min="34" max="34" width="10.44140625" style="124" hidden="1" customWidth="1" outlineLevel="2"/>
    <col min="35" max="35" width="9.88671875" style="124" hidden="1" customWidth="1" outlineLevel="2"/>
    <col min="36" max="36" width="12.109375" style="124" hidden="1" customWidth="1" outlineLevel="2"/>
    <col min="37" max="37" width="11.44140625" style="124" hidden="1" customWidth="1" outlineLevel="2"/>
    <col min="38" max="38" width="11.6640625" style="124" hidden="1" customWidth="1" outlineLevel="2"/>
    <col min="39" max="39" width="13.44140625" style="124" hidden="1" customWidth="1" outlineLevel="2"/>
    <col min="40" max="40" width="92.33203125" style="126" customWidth="1" collapsed="1"/>
    <col min="41" max="16384" width="11.44140625" style="123"/>
  </cols>
  <sheetData>
    <row r="1" spans="1:44" s="6" customFormat="1" ht="21.6" thickBot="1">
      <c r="A1" s="1" t="s">
        <v>541</v>
      </c>
      <c r="B1" s="2"/>
      <c r="C1" s="2"/>
      <c r="D1" s="3"/>
      <c r="E1" s="2"/>
      <c r="F1" s="4"/>
      <c r="G1" s="4"/>
      <c r="H1" s="5"/>
      <c r="J1" s="7"/>
      <c r="K1" s="7"/>
      <c r="L1" s="7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10"/>
    </row>
    <row r="2" spans="1:44" s="229" customFormat="1" ht="27" thickBot="1">
      <c r="A2" s="281" t="s">
        <v>277</v>
      </c>
      <c r="B2" s="282"/>
      <c r="C2" s="282"/>
      <c r="D2" s="283"/>
      <c r="E2" s="284" t="s">
        <v>278</v>
      </c>
      <c r="F2" s="285"/>
      <c r="G2" s="286"/>
      <c r="H2" s="225" t="s">
        <v>279</v>
      </c>
      <c r="I2" s="226" t="s">
        <v>280</v>
      </c>
      <c r="J2" s="287" t="s">
        <v>251</v>
      </c>
      <c r="K2" s="288"/>
      <c r="L2" s="289"/>
      <c r="M2" s="289"/>
      <c r="N2" s="278" t="s">
        <v>281</v>
      </c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80"/>
      <c r="AN2" s="227"/>
      <c r="AO2" s="228"/>
      <c r="AP2" s="228"/>
      <c r="AQ2" s="228"/>
      <c r="AR2" s="228"/>
    </row>
    <row r="3" spans="1:44" s="235" customFormat="1" ht="93" thickBot="1">
      <c r="A3" s="230" t="s">
        <v>282</v>
      </c>
      <c r="B3" s="11" t="s">
        <v>283</v>
      </c>
      <c r="C3" s="11" t="s">
        <v>284</v>
      </c>
      <c r="D3" s="12" t="s">
        <v>384</v>
      </c>
      <c r="E3" s="13" t="s">
        <v>285</v>
      </c>
      <c r="F3" s="14" t="s">
        <v>286</v>
      </c>
      <c r="G3" s="14" t="s">
        <v>386</v>
      </c>
      <c r="H3" s="15" t="s">
        <v>287</v>
      </c>
      <c r="I3" s="16" t="s">
        <v>288</v>
      </c>
      <c r="J3" s="17" t="s">
        <v>406</v>
      </c>
      <c r="K3" s="231" t="s">
        <v>425</v>
      </c>
      <c r="L3" s="17" t="s">
        <v>426</v>
      </c>
      <c r="M3" s="232" t="s">
        <v>427</v>
      </c>
      <c r="N3" s="222" t="s">
        <v>289</v>
      </c>
      <c r="O3" s="222" t="s">
        <v>290</v>
      </c>
      <c r="P3" s="222" t="s">
        <v>291</v>
      </c>
      <c r="Q3" s="222" t="s">
        <v>292</v>
      </c>
      <c r="R3" s="222" t="s">
        <v>293</v>
      </c>
      <c r="S3" s="222" t="s">
        <v>294</v>
      </c>
      <c r="T3" s="222" t="s">
        <v>295</v>
      </c>
      <c r="U3" s="222" t="s">
        <v>296</v>
      </c>
      <c r="V3" s="222" t="s">
        <v>297</v>
      </c>
      <c r="W3" s="222" t="s">
        <v>298</v>
      </c>
      <c r="X3" s="222" t="s">
        <v>299</v>
      </c>
      <c r="Y3" s="222" t="s">
        <v>300</v>
      </c>
      <c r="Z3" s="222" t="s">
        <v>301</v>
      </c>
      <c r="AA3" s="222" t="s">
        <v>302</v>
      </c>
      <c r="AB3" s="222" t="s">
        <v>303</v>
      </c>
      <c r="AC3" s="222" t="s">
        <v>304</v>
      </c>
      <c r="AD3" s="222" t="s">
        <v>305</v>
      </c>
      <c r="AE3" s="222" t="s">
        <v>306</v>
      </c>
      <c r="AF3" s="222" t="s">
        <v>307</v>
      </c>
      <c r="AG3" s="222" t="s">
        <v>308</v>
      </c>
      <c r="AH3" s="222" t="s">
        <v>309</v>
      </c>
      <c r="AI3" s="222" t="s">
        <v>310</v>
      </c>
      <c r="AJ3" s="222" t="s">
        <v>311</v>
      </c>
      <c r="AK3" s="222" t="s">
        <v>312</v>
      </c>
      <c r="AL3" s="222" t="s">
        <v>313</v>
      </c>
      <c r="AM3" s="222" t="s">
        <v>314</v>
      </c>
      <c r="AN3" s="233" t="s">
        <v>315</v>
      </c>
      <c r="AO3" s="234"/>
      <c r="AP3" s="234"/>
      <c r="AQ3" s="234"/>
      <c r="AR3" s="234"/>
    </row>
    <row r="4" spans="1:44" s="234" customFormat="1" ht="66.599999999999994" hidden="1" outlineLevel="1" thickBot="1">
      <c r="A4" s="236" t="s">
        <v>316</v>
      </c>
      <c r="B4" s="11" t="s">
        <v>317</v>
      </c>
      <c r="C4" s="11" t="s">
        <v>318</v>
      </c>
      <c r="D4" s="12" t="s">
        <v>319</v>
      </c>
      <c r="E4" s="13" t="s">
        <v>320</v>
      </c>
      <c r="F4" s="14" t="s">
        <v>321</v>
      </c>
      <c r="G4" s="14" t="s">
        <v>322</v>
      </c>
      <c r="H4" s="15" t="s">
        <v>323</v>
      </c>
      <c r="I4" s="16" t="s">
        <v>324</v>
      </c>
      <c r="J4" s="17" t="s">
        <v>407</v>
      </c>
      <c r="K4" s="231" t="s">
        <v>428</v>
      </c>
      <c r="L4" s="17" t="s">
        <v>429</v>
      </c>
      <c r="M4" s="232" t="s">
        <v>430</v>
      </c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37" t="s">
        <v>325</v>
      </c>
    </row>
    <row r="5" spans="1:44" s="18" customFormat="1" ht="17.25" customHeight="1" collapsed="1" thickBot="1">
      <c r="A5" s="175" t="s">
        <v>211</v>
      </c>
      <c r="B5" s="11"/>
      <c r="C5" s="11"/>
      <c r="D5" s="12"/>
      <c r="E5" s="13"/>
      <c r="F5" s="14"/>
      <c r="G5" s="14"/>
      <c r="H5" s="15"/>
      <c r="I5" s="16"/>
      <c r="J5" s="17">
        <f>SUM(J10:J253)</f>
        <v>175806695.63554275</v>
      </c>
      <c r="K5" s="17">
        <f>SUM(K10:K253)</f>
        <v>86518256.529181212</v>
      </c>
      <c r="L5" s="17">
        <f>SUM(L10:L253)</f>
        <v>89288439.106361538</v>
      </c>
      <c r="M5" s="221"/>
      <c r="N5" s="222">
        <f t="shared" ref="N5:AM5" si="0">SUBTOTAL(9,N10:N253)</f>
        <v>5514305.9597333008</v>
      </c>
      <c r="O5" s="222">
        <f t="shared" si="0"/>
        <v>314166.72950000002</v>
      </c>
      <c r="P5" s="222">
        <f t="shared" si="0"/>
        <v>859302.69050000014</v>
      </c>
      <c r="Q5" s="222">
        <f t="shared" si="0"/>
        <v>8661826.8966333345</v>
      </c>
      <c r="R5" s="222">
        <f t="shared" si="0"/>
        <v>0</v>
      </c>
      <c r="S5" s="222">
        <f t="shared" si="0"/>
        <v>0</v>
      </c>
      <c r="T5" s="222">
        <f t="shared" si="0"/>
        <v>194882.93009047618</v>
      </c>
      <c r="U5" s="222">
        <f t="shared" si="0"/>
        <v>0</v>
      </c>
      <c r="V5" s="222">
        <f t="shared" si="0"/>
        <v>230312.50050296701</v>
      </c>
      <c r="W5" s="222">
        <f t="shared" si="0"/>
        <v>3389590.519700001</v>
      </c>
      <c r="X5" s="222">
        <f t="shared" si="0"/>
        <v>672416.23800000001</v>
      </c>
      <c r="Y5" s="222">
        <f t="shared" si="0"/>
        <v>1379590</v>
      </c>
      <c r="Z5" s="222">
        <f t="shared" si="0"/>
        <v>2560077.351874074</v>
      </c>
      <c r="AA5" s="222">
        <f t="shared" si="0"/>
        <v>0</v>
      </c>
      <c r="AB5" s="222">
        <f t="shared" si="0"/>
        <v>0</v>
      </c>
      <c r="AC5" s="222">
        <f t="shared" si="0"/>
        <v>2059952.2565492433</v>
      </c>
      <c r="AD5" s="222">
        <f t="shared" si="0"/>
        <v>311471.41803123499</v>
      </c>
      <c r="AE5" s="222">
        <f t="shared" si="0"/>
        <v>0</v>
      </c>
      <c r="AF5" s="222">
        <f t="shared" si="0"/>
        <v>1869066.89820261</v>
      </c>
      <c r="AG5" s="222">
        <f t="shared" si="0"/>
        <v>3214693.5441363817</v>
      </c>
      <c r="AH5" s="222">
        <f t="shared" si="0"/>
        <v>1146666.81</v>
      </c>
      <c r="AI5" s="222">
        <f t="shared" si="0"/>
        <v>191201.97572999998</v>
      </c>
      <c r="AJ5" s="222">
        <f t="shared" si="0"/>
        <v>6724199.5298909089</v>
      </c>
      <c r="AK5" s="222">
        <f t="shared" si="0"/>
        <v>3189304.5730500002</v>
      </c>
      <c r="AL5" s="222">
        <f t="shared" si="0"/>
        <v>1705072.4525050009</v>
      </c>
      <c r="AM5" s="222">
        <f t="shared" si="0"/>
        <v>45100337.83173199</v>
      </c>
      <c r="AN5" s="223"/>
    </row>
    <row r="6" spans="1:44" s="18" customFormat="1" ht="26.4" hidden="1" outlineLevel="1">
      <c r="A6" s="19" t="s">
        <v>3</v>
      </c>
      <c r="B6" s="20"/>
      <c r="C6" s="20"/>
      <c r="D6" s="21"/>
      <c r="E6" s="22"/>
      <c r="F6" s="23"/>
      <c r="G6" s="23"/>
      <c r="H6" s="24"/>
      <c r="I6" s="25"/>
      <c r="J6" s="26"/>
      <c r="K6" s="26"/>
      <c r="L6" s="26"/>
      <c r="M6" s="27"/>
      <c r="N6" s="173">
        <v>0.43</v>
      </c>
      <c r="O6" s="173">
        <v>0.11</v>
      </c>
      <c r="P6" s="173">
        <v>0.2</v>
      </c>
      <c r="Q6" s="173">
        <v>0.24</v>
      </c>
      <c r="R6" s="173">
        <v>0.46</v>
      </c>
      <c r="S6" s="173">
        <v>0.63</v>
      </c>
      <c r="T6" s="173">
        <v>0.21</v>
      </c>
      <c r="U6" s="173">
        <v>0.57999999999999996</v>
      </c>
      <c r="V6" s="173">
        <v>0.21</v>
      </c>
      <c r="W6" s="173">
        <v>0.11</v>
      </c>
      <c r="X6" s="173">
        <v>0.08</v>
      </c>
      <c r="Y6" s="173">
        <v>0.35</v>
      </c>
      <c r="Z6" s="173">
        <v>0.27</v>
      </c>
      <c r="AA6" s="173">
        <v>0.32</v>
      </c>
      <c r="AB6" s="173">
        <v>0.11</v>
      </c>
      <c r="AC6" s="173">
        <v>0.35</v>
      </c>
      <c r="AD6" s="173">
        <v>0.41</v>
      </c>
      <c r="AE6" s="173">
        <v>0.38</v>
      </c>
      <c r="AF6" s="173">
        <v>0.32</v>
      </c>
      <c r="AG6" s="173">
        <v>0.34</v>
      </c>
      <c r="AH6" s="173">
        <v>0.3</v>
      </c>
      <c r="AI6" s="173">
        <v>0.13</v>
      </c>
      <c r="AJ6" s="173">
        <v>0.33</v>
      </c>
      <c r="AK6" s="173">
        <v>0.12</v>
      </c>
      <c r="AL6" s="173">
        <v>0.6</v>
      </c>
      <c r="AM6" s="173">
        <v>0.56000000000000005</v>
      </c>
      <c r="AN6" s="28"/>
    </row>
    <row r="7" spans="1:44" s="18" customFormat="1" ht="30" hidden="1" customHeight="1" outlineLevel="1">
      <c r="A7" s="214" t="s">
        <v>2</v>
      </c>
      <c r="B7" s="215"/>
      <c r="C7" s="215"/>
      <c r="D7" s="216"/>
      <c r="E7" s="217"/>
      <c r="F7" s="218"/>
      <c r="G7" s="218"/>
      <c r="H7" s="219"/>
      <c r="I7" s="220"/>
      <c r="J7" s="50"/>
      <c r="K7" s="50"/>
      <c r="L7" s="50"/>
      <c r="M7" s="52"/>
      <c r="N7" s="224">
        <v>0.61</v>
      </c>
      <c r="O7" s="224">
        <v>0.26</v>
      </c>
      <c r="P7" s="224">
        <v>0.4</v>
      </c>
      <c r="Q7" s="224">
        <v>0.46</v>
      </c>
      <c r="R7" s="224">
        <v>0.61</v>
      </c>
      <c r="S7" s="224">
        <v>0.73</v>
      </c>
      <c r="T7" s="224">
        <v>0.43</v>
      </c>
      <c r="U7" s="224">
        <v>0.71</v>
      </c>
      <c r="V7" s="224">
        <v>0.37</v>
      </c>
      <c r="W7" s="224">
        <v>0.2</v>
      </c>
      <c r="X7" s="224">
        <v>0.27</v>
      </c>
      <c r="Y7" s="224">
        <v>0.56000000000000005</v>
      </c>
      <c r="Z7" s="224">
        <v>0.5</v>
      </c>
      <c r="AA7" s="224">
        <v>0.45</v>
      </c>
      <c r="AB7" s="224">
        <v>0.33</v>
      </c>
      <c r="AC7" s="224">
        <v>0.55000000000000004</v>
      </c>
      <c r="AD7" s="224">
        <v>0.57999999999999996</v>
      </c>
      <c r="AE7" s="224">
        <v>0.56999999999999995</v>
      </c>
      <c r="AF7" s="224">
        <v>0.47</v>
      </c>
      <c r="AG7" s="224">
        <v>0.53</v>
      </c>
      <c r="AH7" s="224">
        <v>0.48</v>
      </c>
      <c r="AI7" s="224">
        <v>0.28999999999999998</v>
      </c>
      <c r="AJ7" s="224">
        <v>0.5</v>
      </c>
      <c r="AK7" s="224">
        <v>0.35</v>
      </c>
      <c r="AL7" s="224">
        <v>0.65</v>
      </c>
      <c r="AM7" s="224">
        <v>0.67</v>
      </c>
      <c r="AN7" s="112"/>
    </row>
    <row r="8" spans="1:44" s="18" customFormat="1" ht="30" hidden="1" customHeight="1" outlineLevel="1" thickBot="1">
      <c r="A8" s="169" t="s">
        <v>417</v>
      </c>
      <c r="B8" s="170"/>
      <c r="C8" s="170"/>
      <c r="D8" s="171"/>
      <c r="E8" s="166"/>
      <c r="F8" s="167"/>
      <c r="G8" s="167"/>
      <c r="H8" s="168"/>
      <c r="I8" s="172"/>
      <c r="J8" s="36"/>
      <c r="K8" s="36"/>
      <c r="L8" s="36"/>
      <c r="M8" s="37"/>
      <c r="N8" s="174">
        <v>0.61</v>
      </c>
      <c r="O8" s="174">
        <v>0.26</v>
      </c>
      <c r="P8" s="174">
        <v>0.39</v>
      </c>
      <c r="Q8" s="174">
        <v>0.45</v>
      </c>
      <c r="R8" s="174">
        <v>0.6</v>
      </c>
      <c r="S8" s="174">
        <v>0.71</v>
      </c>
      <c r="T8" s="174">
        <v>0.44</v>
      </c>
      <c r="U8" s="174">
        <v>0.7</v>
      </c>
      <c r="V8" s="174">
        <v>0.36</v>
      </c>
      <c r="W8" s="174">
        <v>0.2</v>
      </c>
      <c r="X8" s="174">
        <v>0.27</v>
      </c>
      <c r="Y8" s="174">
        <v>0.56000000000000005</v>
      </c>
      <c r="Z8" s="174">
        <v>0.49</v>
      </c>
      <c r="AA8" s="174">
        <v>0.45</v>
      </c>
      <c r="AB8" s="174">
        <v>0.33</v>
      </c>
      <c r="AC8" s="174">
        <v>0.54</v>
      </c>
      <c r="AD8" s="174">
        <v>0.56000000000000005</v>
      </c>
      <c r="AE8" s="174">
        <v>0.56000000000000005</v>
      </c>
      <c r="AF8" s="174">
        <v>0.48</v>
      </c>
      <c r="AG8" s="174">
        <v>0.53</v>
      </c>
      <c r="AH8" s="174">
        <v>0.49</v>
      </c>
      <c r="AI8" s="174">
        <v>0.28000000000000003</v>
      </c>
      <c r="AJ8" s="174">
        <v>0.5</v>
      </c>
      <c r="AK8" s="174">
        <v>0.36</v>
      </c>
      <c r="AL8" s="174">
        <v>0.64</v>
      </c>
      <c r="AM8" s="174">
        <v>0.66</v>
      </c>
      <c r="AN8" s="71"/>
    </row>
    <row r="9" spans="1:44" s="18" customFormat="1" collapsed="1">
      <c r="A9" s="211"/>
      <c r="B9" s="204"/>
      <c r="C9" s="204"/>
      <c r="D9" s="205"/>
      <c r="E9" s="206"/>
      <c r="F9" s="207"/>
      <c r="G9" s="207"/>
      <c r="H9" s="208"/>
      <c r="I9" s="209"/>
      <c r="J9" s="51"/>
      <c r="K9" s="51"/>
      <c r="L9" s="51"/>
      <c r="M9" s="102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103"/>
    </row>
    <row r="10" spans="1:44" s="64" customFormat="1" ht="52.8">
      <c r="A10" s="57" t="s">
        <v>327</v>
      </c>
      <c r="B10" s="58"/>
      <c r="C10" s="58" t="s">
        <v>474</v>
      </c>
      <c r="D10" s="59">
        <v>2</v>
      </c>
      <c r="E10" s="60"/>
      <c r="F10" s="61"/>
      <c r="G10" s="61"/>
      <c r="H10" s="62"/>
      <c r="I10" s="63"/>
      <c r="J10" s="50">
        <v>1333334</v>
      </c>
      <c r="K10" s="50">
        <f>J10-L10</f>
        <v>765667.04949999996</v>
      </c>
      <c r="L10" s="50">
        <f>SUM(N10:AM10)</f>
        <v>567666.95050000004</v>
      </c>
      <c r="M10" s="52">
        <v>2017</v>
      </c>
      <c r="N10" s="72"/>
      <c r="O10" s="72">
        <f>0.09425*J10</f>
        <v>125666.7295</v>
      </c>
      <c r="P10" s="72">
        <f>0.252*J10</f>
        <v>336000.16800000001</v>
      </c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>
        <f>0.0795*J10</f>
        <v>106000.053</v>
      </c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93" t="s">
        <v>480</v>
      </c>
    </row>
    <row r="11" spans="1:44" s="64" customFormat="1" ht="52.8">
      <c r="A11" s="57" t="s">
        <v>327</v>
      </c>
      <c r="B11" s="58"/>
      <c r="C11" s="58" t="s">
        <v>474</v>
      </c>
      <c r="D11" s="59">
        <v>3</v>
      </c>
      <c r="E11" s="60"/>
      <c r="F11" s="61"/>
      <c r="G11" s="61"/>
      <c r="H11" s="62"/>
      <c r="I11" s="63"/>
      <c r="J11" s="50">
        <v>2000000</v>
      </c>
      <c r="K11" s="50">
        <f>J11-L11</f>
        <v>1148500</v>
      </c>
      <c r="L11" s="50">
        <f>SUM(N11:AM11)</f>
        <v>851500</v>
      </c>
      <c r="M11" s="52">
        <v>2018</v>
      </c>
      <c r="N11" s="72"/>
      <c r="O11" s="72">
        <f>0.09425*J11</f>
        <v>188500</v>
      </c>
      <c r="P11" s="72">
        <f>0.252*J11</f>
        <v>504000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>
        <f>0.0795*J11</f>
        <v>159000</v>
      </c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93" t="s">
        <v>480</v>
      </c>
    </row>
    <row r="12" spans="1:44" s="64" customFormat="1" ht="53.4" thickBot="1">
      <c r="A12" s="65" t="s">
        <v>473</v>
      </c>
      <c r="B12" s="30"/>
      <c r="C12" s="30" t="s">
        <v>533</v>
      </c>
      <c r="D12" s="66">
        <v>1</v>
      </c>
      <c r="E12" s="67"/>
      <c r="F12" s="68"/>
      <c r="G12" s="68"/>
      <c r="H12" s="69"/>
      <c r="I12" s="70"/>
      <c r="J12" s="36"/>
      <c r="K12" s="36"/>
      <c r="L12" s="36"/>
      <c r="M12" s="37"/>
      <c r="N12" s="38"/>
      <c r="O12" s="38"/>
      <c r="P12" s="38">
        <f>0.24*J12</f>
        <v>0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>
        <f>0.26*J12</f>
        <v>0</v>
      </c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265" t="s">
        <v>540</v>
      </c>
    </row>
    <row r="13" spans="1:44" s="18" customFormat="1">
      <c r="A13" s="40"/>
      <c r="B13" s="41"/>
      <c r="C13" s="41"/>
      <c r="D13" s="42"/>
      <c r="E13" s="43"/>
      <c r="F13" s="44"/>
      <c r="G13" s="44"/>
      <c r="H13" s="45"/>
      <c r="I13" s="46"/>
      <c r="J13" s="26"/>
      <c r="K13" s="26"/>
      <c r="L13" s="26"/>
      <c r="M13" s="2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8"/>
    </row>
    <row r="14" spans="1:44" s="18" customFormat="1" ht="26.4">
      <c r="A14" s="57" t="s">
        <v>387</v>
      </c>
      <c r="B14" s="58" t="s">
        <v>328</v>
      </c>
      <c r="C14" s="58" t="s">
        <v>413</v>
      </c>
      <c r="D14" s="59" t="s">
        <v>396</v>
      </c>
      <c r="E14" s="60" t="s">
        <v>326</v>
      </c>
      <c r="F14" s="61">
        <v>2027</v>
      </c>
      <c r="G14" s="61">
        <v>2012</v>
      </c>
      <c r="H14" s="62"/>
      <c r="I14" s="63" t="s">
        <v>331</v>
      </c>
      <c r="J14" s="26">
        <v>627000</v>
      </c>
      <c r="K14" s="50">
        <f>J14-L14</f>
        <v>338580</v>
      </c>
      <c r="L14" s="50">
        <f>SUM(N14:AM14)</f>
        <v>288420</v>
      </c>
      <c r="M14" s="27">
        <v>2010</v>
      </c>
      <c r="N14" s="47"/>
      <c r="O14" s="47"/>
      <c r="P14" s="47"/>
      <c r="Q14" s="47">
        <f>(0.24*J14)*$Q$7/$Q$6</f>
        <v>288420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267" t="s">
        <v>524</v>
      </c>
    </row>
    <row r="15" spans="1:44" s="18" customFormat="1" ht="26.4">
      <c r="A15" s="57" t="s">
        <v>387</v>
      </c>
      <c r="B15" s="58" t="s">
        <v>328</v>
      </c>
      <c r="C15" s="58" t="s">
        <v>413</v>
      </c>
      <c r="D15" s="59" t="s">
        <v>396</v>
      </c>
      <c r="E15" s="60" t="s">
        <v>326</v>
      </c>
      <c r="F15" s="61">
        <v>2027</v>
      </c>
      <c r="G15" s="61">
        <v>2012</v>
      </c>
      <c r="H15" s="62"/>
      <c r="I15" s="63" t="s">
        <v>331</v>
      </c>
      <c r="J15" s="26">
        <v>133000</v>
      </c>
      <c r="K15" s="50">
        <f>J15-L15</f>
        <v>71820</v>
      </c>
      <c r="L15" s="50">
        <f>SUM(N15:AM15)</f>
        <v>61180.000000000007</v>
      </c>
      <c r="M15" s="27">
        <v>2011</v>
      </c>
      <c r="N15" s="47"/>
      <c r="O15" s="47"/>
      <c r="P15" s="47"/>
      <c r="Q15" s="47">
        <f>(0.24*J15)*$Q$7/$Q$6</f>
        <v>61180.000000000007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267" t="s">
        <v>524</v>
      </c>
    </row>
    <row r="16" spans="1:44" s="18" customFormat="1" ht="26.4">
      <c r="A16" s="57" t="s">
        <v>387</v>
      </c>
      <c r="B16" s="58" t="s">
        <v>328</v>
      </c>
      <c r="C16" s="58" t="s">
        <v>413</v>
      </c>
      <c r="D16" s="59" t="s">
        <v>396</v>
      </c>
      <c r="E16" s="60" t="s">
        <v>326</v>
      </c>
      <c r="F16" s="61">
        <v>2047</v>
      </c>
      <c r="G16" s="61">
        <v>2027</v>
      </c>
      <c r="H16" s="62">
        <v>2007</v>
      </c>
      <c r="I16" s="63" t="s">
        <v>331</v>
      </c>
      <c r="J16" s="26">
        <v>360000</v>
      </c>
      <c r="K16" s="50">
        <f>J16-L16</f>
        <v>194400</v>
      </c>
      <c r="L16" s="50">
        <f>SUM(N16:AM16)</f>
        <v>165600</v>
      </c>
      <c r="M16" s="27">
        <v>2012</v>
      </c>
      <c r="N16" s="47"/>
      <c r="O16" s="47"/>
      <c r="P16" s="47"/>
      <c r="Q16" s="47">
        <f>(0.24*J16)*$Q$7/$Q$6</f>
        <v>165600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267" t="s">
        <v>524</v>
      </c>
    </row>
    <row r="17" spans="1:40" s="64" customFormat="1" ht="26.4">
      <c r="A17" s="57" t="s">
        <v>388</v>
      </c>
      <c r="B17" s="58" t="s">
        <v>328</v>
      </c>
      <c r="C17" s="58" t="s">
        <v>333</v>
      </c>
      <c r="D17" s="59">
        <v>3</v>
      </c>
      <c r="E17" s="60" t="s">
        <v>326</v>
      </c>
      <c r="F17" s="61">
        <v>2007</v>
      </c>
      <c r="G17" s="61" t="s">
        <v>332</v>
      </c>
      <c r="H17" s="62" t="s">
        <v>332</v>
      </c>
      <c r="I17" s="63" t="s">
        <v>331</v>
      </c>
      <c r="J17" s="50"/>
      <c r="K17" s="26"/>
      <c r="L17" s="50"/>
      <c r="M17" s="52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8"/>
    </row>
    <row r="18" spans="1:40" s="64" customFormat="1" ht="27" thickBot="1">
      <c r="A18" s="65" t="s">
        <v>330</v>
      </c>
      <c r="B18" s="30" t="s">
        <v>328</v>
      </c>
      <c r="C18" s="30" t="s">
        <v>333</v>
      </c>
      <c r="D18" s="66">
        <v>6</v>
      </c>
      <c r="E18" s="67" t="s">
        <v>326</v>
      </c>
      <c r="F18" s="68">
        <v>2010</v>
      </c>
      <c r="G18" s="68" t="s">
        <v>332</v>
      </c>
      <c r="H18" s="69" t="s">
        <v>332</v>
      </c>
      <c r="I18" s="70" t="s">
        <v>331</v>
      </c>
      <c r="J18" s="36"/>
      <c r="K18" s="36"/>
      <c r="L18" s="36"/>
      <c r="M18" s="37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56"/>
    </row>
    <row r="19" spans="1:40" s="64" customFormat="1">
      <c r="A19" s="40"/>
      <c r="B19" s="41"/>
      <c r="C19" s="41"/>
      <c r="D19" s="42"/>
      <c r="E19" s="43"/>
      <c r="F19" s="44"/>
      <c r="G19" s="44"/>
      <c r="H19" s="45"/>
      <c r="I19" s="46"/>
      <c r="J19" s="26"/>
      <c r="K19" s="26"/>
      <c r="L19" s="26"/>
      <c r="M19" s="2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28"/>
    </row>
    <row r="20" spans="1:40" s="64" customFormat="1" ht="26.4">
      <c r="A20" s="57" t="s">
        <v>334</v>
      </c>
      <c r="B20" s="58" t="s">
        <v>328</v>
      </c>
      <c r="C20" s="58" t="s">
        <v>335</v>
      </c>
      <c r="D20" s="59">
        <v>5</v>
      </c>
      <c r="E20" s="60" t="s">
        <v>326</v>
      </c>
      <c r="F20" s="61">
        <v>2030</v>
      </c>
      <c r="G20" s="61" t="s">
        <v>336</v>
      </c>
      <c r="H20" s="62" t="s">
        <v>337</v>
      </c>
      <c r="I20" s="63" t="s">
        <v>329</v>
      </c>
      <c r="J20" s="26"/>
      <c r="K20" s="26"/>
      <c r="L20" s="26"/>
      <c r="M20" s="27"/>
      <c r="N20" s="72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72"/>
      <c r="AN20" s="48" t="s">
        <v>338</v>
      </c>
    </row>
    <row r="21" spans="1:40" s="64" customFormat="1" ht="27" thickBot="1">
      <c r="A21" s="65" t="s">
        <v>334</v>
      </c>
      <c r="B21" s="30" t="s">
        <v>328</v>
      </c>
      <c r="C21" s="30" t="s">
        <v>339</v>
      </c>
      <c r="D21" s="66">
        <v>9</v>
      </c>
      <c r="E21" s="67" t="s">
        <v>326</v>
      </c>
      <c r="F21" s="68">
        <v>2015</v>
      </c>
      <c r="G21" s="68" t="s">
        <v>340</v>
      </c>
      <c r="H21" s="69" t="s">
        <v>337</v>
      </c>
      <c r="I21" s="70" t="s">
        <v>329</v>
      </c>
      <c r="J21" s="36"/>
      <c r="K21" s="36"/>
      <c r="L21" s="36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56" t="s">
        <v>341</v>
      </c>
    </row>
    <row r="22" spans="1:40" s="64" customFormat="1">
      <c r="A22" s="73"/>
      <c r="B22" s="74"/>
      <c r="C22" s="74"/>
      <c r="D22" s="75"/>
      <c r="E22" s="76"/>
      <c r="F22" s="77"/>
      <c r="G22" s="77"/>
      <c r="H22" s="78"/>
      <c r="I22" s="79"/>
      <c r="J22" s="26"/>
      <c r="K22" s="26"/>
      <c r="L22" s="26"/>
      <c r="M22" s="2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8"/>
    </row>
    <row r="23" spans="1:40" s="64" customFormat="1" ht="92.4">
      <c r="A23" s="80" t="s">
        <v>342</v>
      </c>
      <c r="B23" s="58" t="s">
        <v>328</v>
      </c>
      <c r="C23" s="81" t="s">
        <v>343</v>
      </c>
      <c r="D23" s="82">
        <v>3</v>
      </c>
      <c r="E23" s="60" t="s">
        <v>326</v>
      </c>
      <c r="F23" s="61" t="s">
        <v>344</v>
      </c>
      <c r="G23" s="61" t="s">
        <v>345</v>
      </c>
      <c r="H23" s="62" t="s">
        <v>346</v>
      </c>
      <c r="I23" s="63" t="s">
        <v>370</v>
      </c>
      <c r="J23" s="26"/>
      <c r="K23" s="50"/>
      <c r="L23" s="50"/>
      <c r="M23" s="2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28" t="s">
        <v>14</v>
      </c>
    </row>
    <row r="24" spans="1:40" s="64" customFormat="1" ht="27" thickBot="1">
      <c r="A24" s="83" t="s">
        <v>342</v>
      </c>
      <c r="B24" s="30" t="s">
        <v>371</v>
      </c>
      <c r="C24" s="84" t="s">
        <v>346</v>
      </c>
      <c r="D24" s="85">
        <v>2</v>
      </c>
      <c r="E24" s="67" t="s">
        <v>326</v>
      </c>
      <c r="F24" s="68" t="s">
        <v>344</v>
      </c>
      <c r="G24" s="68" t="s">
        <v>345</v>
      </c>
      <c r="H24" s="69"/>
      <c r="I24" s="70" t="s">
        <v>370</v>
      </c>
      <c r="J24" s="36"/>
      <c r="K24" s="36"/>
      <c r="L24" s="36"/>
      <c r="M24" s="37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71"/>
    </row>
    <row r="25" spans="1:40" s="64" customFormat="1">
      <c r="A25" s="86"/>
      <c r="B25" s="74"/>
      <c r="C25" s="87"/>
      <c r="D25" s="88"/>
      <c r="E25" s="76"/>
      <c r="F25" s="77"/>
      <c r="G25" s="77"/>
      <c r="H25" s="78"/>
      <c r="I25" s="79"/>
      <c r="J25" s="26"/>
      <c r="K25" s="26"/>
      <c r="L25" s="26"/>
      <c r="M25" s="2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28"/>
    </row>
    <row r="26" spans="1:40" s="64" customFormat="1" ht="26.4">
      <c r="A26" s="73" t="s">
        <v>27</v>
      </c>
      <c r="B26" s="74" t="s">
        <v>28</v>
      </c>
      <c r="C26" s="74" t="s">
        <v>390</v>
      </c>
      <c r="D26" s="75" t="s">
        <v>9</v>
      </c>
      <c r="E26" s="76" t="s">
        <v>326</v>
      </c>
      <c r="F26" s="77" t="s">
        <v>374</v>
      </c>
      <c r="G26" s="77" t="s">
        <v>29</v>
      </c>
      <c r="H26" s="78" t="s">
        <v>375</v>
      </c>
      <c r="I26" s="63" t="s">
        <v>329</v>
      </c>
      <c r="J26" s="26">
        <v>2400000</v>
      </c>
      <c r="K26" s="26">
        <f>0.7613*J26</f>
        <v>1827120</v>
      </c>
      <c r="L26" s="26">
        <f>0.2387*J26</f>
        <v>572880</v>
      </c>
      <c r="M26" s="27">
        <v>2007</v>
      </c>
      <c r="N26" s="47"/>
      <c r="O26" s="47"/>
      <c r="P26" s="47"/>
      <c r="Q26" s="47">
        <f>0.2065*J26</f>
        <v>495600</v>
      </c>
      <c r="R26" s="47"/>
      <c r="S26" s="47"/>
      <c r="T26" s="47">
        <f>0.0221*J26</f>
        <v>53040.000000000007</v>
      </c>
      <c r="U26" s="47"/>
      <c r="V26" s="47"/>
      <c r="W26" s="47"/>
      <c r="X26" s="47"/>
      <c r="Y26" s="47"/>
      <c r="Z26" s="92">
        <f>0.005*J26</f>
        <v>12000</v>
      </c>
      <c r="AA26" s="47"/>
      <c r="AB26" s="47"/>
      <c r="AC26" s="47"/>
      <c r="AD26" s="47"/>
      <c r="AE26" s="47"/>
      <c r="AF26" s="47"/>
      <c r="AG26" s="47"/>
      <c r="AH26" s="47"/>
      <c r="AI26" s="47"/>
      <c r="AJ26" s="47">
        <f>0.0051*J26</f>
        <v>12240</v>
      </c>
      <c r="AK26" s="47"/>
      <c r="AL26" s="47"/>
      <c r="AM26" s="47"/>
      <c r="AN26" s="112" t="s">
        <v>391</v>
      </c>
    </row>
    <row r="27" spans="1:40" s="64" customFormat="1" ht="26.4">
      <c r="A27" s="73" t="s">
        <v>27</v>
      </c>
      <c r="B27" s="74" t="s">
        <v>28</v>
      </c>
      <c r="C27" s="74" t="s">
        <v>390</v>
      </c>
      <c r="D27" s="75" t="s">
        <v>9</v>
      </c>
      <c r="E27" s="76" t="s">
        <v>326</v>
      </c>
      <c r="F27" s="77" t="s">
        <v>376</v>
      </c>
      <c r="G27" s="77" t="s">
        <v>29</v>
      </c>
      <c r="H27" s="78" t="s">
        <v>377</v>
      </c>
      <c r="I27" s="63" t="s">
        <v>329</v>
      </c>
      <c r="J27" s="26">
        <v>0</v>
      </c>
      <c r="K27" s="50">
        <f t="shared" ref="K27:K33" si="1">J27-L27</f>
        <v>0</v>
      </c>
      <c r="L27" s="50">
        <f t="shared" ref="L27:L33" si="2">SUM(N27:AM27)</f>
        <v>0</v>
      </c>
      <c r="M27" s="27">
        <v>2008</v>
      </c>
      <c r="N27" s="47"/>
      <c r="O27" s="47"/>
      <c r="P27" s="47"/>
      <c r="Q27" s="47">
        <f>(0.2065*J27)*Q$7/Q$6</f>
        <v>0</v>
      </c>
      <c r="R27" s="47"/>
      <c r="S27" s="47"/>
      <c r="T27" s="47">
        <f>(0.0221*J27)*T$7/T$6</f>
        <v>0</v>
      </c>
      <c r="U27" s="47"/>
      <c r="V27" s="47"/>
      <c r="W27" s="47"/>
      <c r="X27" s="47"/>
      <c r="Y27" s="47"/>
      <c r="Z27" s="72">
        <f>(0.005*J27)*Z$7/Z$6</f>
        <v>0</v>
      </c>
      <c r="AA27" s="47"/>
      <c r="AB27" s="47"/>
      <c r="AC27" s="47"/>
      <c r="AD27" s="47"/>
      <c r="AE27" s="47"/>
      <c r="AF27" s="47"/>
      <c r="AG27" s="47"/>
      <c r="AH27" s="47"/>
      <c r="AI27" s="47"/>
      <c r="AJ27" s="47">
        <f>(0.0051*J27)*AJ$7/AJ$6</f>
        <v>0</v>
      </c>
      <c r="AK27" s="47"/>
      <c r="AL27" s="47"/>
      <c r="AM27" s="47"/>
      <c r="AN27" s="112" t="s">
        <v>391</v>
      </c>
    </row>
    <row r="28" spans="1:40" s="64" customFormat="1" ht="26.4">
      <c r="A28" s="57" t="s">
        <v>27</v>
      </c>
      <c r="B28" s="58" t="s">
        <v>28</v>
      </c>
      <c r="C28" s="74" t="s">
        <v>390</v>
      </c>
      <c r="D28" s="75" t="s">
        <v>9</v>
      </c>
      <c r="E28" s="60" t="s">
        <v>326</v>
      </c>
      <c r="F28" s="61" t="s">
        <v>378</v>
      </c>
      <c r="G28" s="61" t="s">
        <v>29</v>
      </c>
      <c r="H28" s="62" t="s">
        <v>379</v>
      </c>
      <c r="I28" s="63" t="s">
        <v>329</v>
      </c>
      <c r="J28" s="26">
        <v>631518.51851851842</v>
      </c>
      <c r="K28" s="50">
        <f t="shared" si="1"/>
        <v>342263.72544982453</v>
      </c>
      <c r="L28" s="50">
        <f t="shared" si="2"/>
        <v>289254.79306869389</v>
      </c>
      <c r="M28" s="52">
        <v>2009</v>
      </c>
      <c r="N28" s="72"/>
      <c r="O28" s="72"/>
      <c r="P28" s="72"/>
      <c r="Q28" s="72">
        <f>(0.2065*J28)*Q$7/Q$6</f>
        <v>249949.76697530859</v>
      </c>
      <c r="R28" s="72"/>
      <c r="S28" s="72"/>
      <c r="T28" s="72">
        <f>(0.0221*J28)*T$7/T$6</f>
        <v>28577.716578483243</v>
      </c>
      <c r="U28" s="72"/>
      <c r="V28" s="72"/>
      <c r="W28" s="72"/>
      <c r="X28" s="72"/>
      <c r="Y28" s="72"/>
      <c r="Z28" s="72">
        <f>(0.005*J28)*Z$7/Z$6</f>
        <v>5847.3936899862811</v>
      </c>
      <c r="AA28" s="72"/>
      <c r="AB28" s="72"/>
      <c r="AC28" s="72"/>
      <c r="AD28" s="72"/>
      <c r="AE28" s="72"/>
      <c r="AF28" s="72"/>
      <c r="AG28" s="72"/>
      <c r="AH28" s="72"/>
      <c r="AI28" s="72"/>
      <c r="AJ28" s="72">
        <f>(0.0051*J28)*AJ$7/AJ$6</f>
        <v>4879.9158249158245</v>
      </c>
      <c r="AK28" s="72"/>
      <c r="AL28" s="72"/>
      <c r="AM28" s="72"/>
      <c r="AN28" s="112" t="s">
        <v>391</v>
      </c>
    </row>
    <row r="29" spans="1:40" s="64" customFormat="1" ht="26.4">
      <c r="A29" s="95" t="s">
        <v>27</v>
      </c>
      <c r="B29" s="96" t="s">
        <v>28</v>
      </c>
      <c r="C29" s="74" t="s">
        <v>390</v>
      </c>
      <c r="D29" s="59" t="s">
        <v>9</v>
      </c>
      <c r="E29" s="98" t="s">
        <v>326</v>
      </c>
      <c r="F29" s="99" t="s">
        <v>378</v>
      </c>
      <c r="G29" s="99" t="s">
        <v>29</v>
      </c>
      <c r="H29" s="100" t="s">
        <v>379</v>
      </c>
      <c r="I29" s="101" t="s">
        <v>329</v>
      </c>
      <c r="J29" s="51">
        <v>891555.5555555555</v>
      </c>
      <c r="K29" s="51">
        <f t="shared" si="1"/>
        <v>483195.8476938699</v>
      </c>
      <c r="L29" s="51">
        <f t="shared" si="2"/>
        <v>408359.7078616856</v>
      </c>
      <c r="M29" s="102">
        <v>2010</v>
      </c>
      <c r="N29" s="53"/>
      <c r="O29" s="53"/>
      <c r="P29" s="53"/>
      <c r="Q29" s="92">
        <f>(0.2065*J29)*Q$7/Q$6</f>
        <v>352870.25925925921</v>
      </c>
      <c r="R29" s="92"/>
      <c r="S29" s="92"/>
      <c r="T29" s="92">
        <f>(0.0221*J29)*T$7/T$6</f>
        <v>40345.011640211647</v>
      </c>
      <c r="U29" s="92"/>
      <c r="V29" s="92"/>
      <c r="W29" s="92"/>
      <c r="X29" s="92"/>
      <c r="Y29" s="92"/>
      <c r="Z29" s="92">
        <f>(0.005*J29)*Z$7/Z$6</f>
        <v>8255.1440329218094</v>
      </c>
      <c r="AA29" s="92"/>
      <c r="AB29" s="92"/>
      <c r="AC29" s="92"/>
      <c r="AD29" s="92"/>
      <c r="AE29" s="92"/>
      <c r="AF29" s="92"/>
      <c r="AG29" s="92"/>
      <c r="AH29" s="92"/>
      <c r="AI29" s="92"/>
      <c r="AJ29" s="92">
        <f>(0.0051*J29)*AJ$7/AJ$6</f>
        <v>6889.2929292929293</v>
      </c>
      <c r="AK29" s="53"/>
      <c r="AL29" s="53"/>
      <c r="AM29" s="53"/>
      <c r="AN29" s="112" t="s">
        <v>391</v>
      </c>
    </row>
    <row r="30" spans="1:40" s="64" customFormat="1" ht="26.4">
      <c r="A30" s="57" t="s">
        <v>27</v>
      </c>
      <c r="B30" s="58" t="s">
        <v>28</v>
      </c>
      <c r="C30" s="74" t="s">
        <v>390</v>
      </c>
      <c r="D30" s="75" t="s">
        <v>9</v>
      </c>
      <c r="E30" s="60" t="s">
        <v>326</v>
      </c>
      <c r="F30" s="61" t="s">
        <v>378</v>
      </c>
      <c r="G30" s="61" t="s">
        <v>29</v>
      </c>
      <c r="H30" s="62" t="s">
        <v>379</v>
      </c>
      <c r="I30" s="63" t="s">
        <v>329</v>
      </c>
      <c r="J30" s="50">
        <v>482925.9259259259</v>
      </c>
      <c r="K30" s="50">
        <f t="shared" si="1"/>
        <v>261731.08416751286</v>
      </c>
      <c r="L30" s="50">
        <f t="shared" si="2"/>
        <v>221194.84175841304</v>
      </c>
      <c r="M30" s="52">
        <v>2011</v>
      </c>
      <c r="N30" s="72"/>
      <c r="O30" s="72"/>
      <c r="P30" s="72"/>
      <c r="Q30" s="72">
        <f>(0.2065*J30)*Q$7/Q$6</f>
        <v>191138.05709876542</v>
      </c>
      <c r="R30" s="72"/>
      <c r="S30" s="72"/>
      <c r="T30" s="72">
        <f>(0.0221*J30)*T$7/T$6</f>
        <v>21853.547971781307</v>
      </c>
      <c r="U30" s="72"/>
      <c r="V30" s="72"/>
      <c r="W30" s="72"/>
      <c r="X30" s="72"/>
      <c r="Y30" s="72"/>
      <c r="Z30" s="72">
        <f>(0.005*J30)*Z$7/Z$6</f>
        <v>4471.5363511659807</v>
      </c>
      <c r="AA30" s="72"/>
      <c r="AB30" s="72"/>
      <c r="AC30" s="72"/>
      <c r="AD30" s="72"/>
      <c r="AE30" s="72"/>
      <c r="AF30" s="72"/>
      <c r="AG30" s="72"/>
      <c r="AH30" s="72"/>
      <c r="AI30" s="72"/>
      <c r="AJ30" s="72">
        <f>(0.0051*J30)*AJ$7/AJ$6</f>
        <v>3731.7003367003367</v>
      </c>
      <c r="AK30" s="72"/>
      <c r="AL30" s="72"/>
      <c r="AM30" s="72"/>
      <c r="AN30" s="112" t="s">
        <v>391</v>
      </c>
    </row>
    <row r="31" spans="1:40" s="64" customFormat="1" ht="26.4">
      <c r="A31" s="73" t="s">
        <v>27</v>
      </c>
      <c r="B31" s="74" t="s">
        <v>28</v>
      </c>
      <c r="C31" s="74" t="s">
        <v>389</v>
      </c>
      <c r="D31" s="75" t="s">
        <v>10</v>
      </c>
      <c r="E31" s="76" t="s">
        <v>326</v>
      </c>
      <c r="F31" s="77" t="s">
        <v>378</v>
      </c>
      <c r="G31" s="77" t="s">
        <v>29</v>
      </c>
      <c r="H31" s="78" t="s">
        <v>379</v>
      </c>
      <c r="I31" s="79" t="s">
        <v>329</v>
      </c>
      <c r="J31" s="26">
        <v>81500</v>
      </c>
      <c r="K31" s="26">
        <f t="shared" si="1"/>
        <v>44010</v>
      </c>
      <c r="L31" s="26">
        <f t="shared" si="2"/>
        <v>37490</v>
      </c>
      <c r="M31" s="27">
        <v>2009</v>
      </c>
      <c r="N31" s="47"/>
      <c r="O31" s="47"/>
      <c r="P31" s="47"/>
      <c r="Q31" s="47">
        <f>(0.24*J31)*Q$7/Q$6</f>
        <v>37490</v>
      </c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112" t="s">
        <v>392</v>
      </c>
    </row>
    <row r="32" spans="1:40" s="64" customFormat="1" ht="26.4">
      <c r="A32" s="57" t="s">
        <v>27</v>
      </c>
      <c r="B32" s="58" t="s">
        <v>28</v>
      </c>
      <c r="C32" s="74" t="s">
        <v>389</v>
      </c>
      <c r="D32" s="75" t="s">
        <v>10</v>
      </c>
      <c r="E32" s="60" t="s">
        <v>326</v>
      </c>
      <c r="F32" s="61" t="s">
        <v>378</v>
      </c>
      <c r="G32" s="61" t="s">
        <v>29</v>
      </c>
      <c r="H32" s="62" t="s">
        <v>379</v>
      </c>
      <c r="I32" s="63" t="s">
        <v>329</v>
      </c>
      <c r="J32" s="50">
        <v>244000</v>
      </c>
      <c r="K32" s="50">
        <f t="shared" si="1"/>
        <v>131760</v>
      </c>
      <c r="L32" s="50">
        <f t="shared" si="2"/>
        <v>112240.00000000001</v>
      </c>
      <c r="M32" s="52">
        <v>2010</v>
      </c>
      <c r="N32" s="72"/>
      <c r="O32" s="72"/>
      <c r="P32" s="72"/>
      <c r="Q32" s="72">
        <f>(0.24*J32)*Q$7/Q$6</f>
        <v>112240.00000000001</v>
      </c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112" t="s">
        <v>392</v>
      </c>
    </row>
    <row r="33" spans="1:40" s="64" customFormat="1" ht="27" thickBot="1">
      <c r="A33" s="65" t="s">
        <v>27</v>
      </c>
      <c r="B33" s="30" t="s">
        <v>28</v>
      </c>
      <c r="C33" s="30" t="s">
        <v>389</v>
      </c>
      <c r="D33" s="66" t="s">
        <v>10</v>
      </c>
      <c r="E33" s="67" t="s">
        <v>326</v>
      </c>
      <c r="F33" s="68" t="s">
        <v>378</v>
      </c>
      <c r="G33" s="68" t="s">
        <v>29</v>
      </c>
      <c r="H33" s="69" t="s">
        <v>379</v>
      </c>
      <c r="I33" s="70" t="s">
        <v>329</v>
      </c>
      <c r="J33" s="36">
        <v>81500</v>
      </c>
      <c r="K33" s="36">
        <f t="shared" si="1"/>
        <v>44010</v>
      </c>
      <c r="L33" s="36">
        <f t="shared" si="2"/>
        <v>37490</v>
      </c>
      <c r="M33" s="37">
        <v>2011</v>
      </c>
      <c r="N33" s="38"/>
      <c r="O33" s="38"/>
      <c r="P33" s="38"/>
      <c r="Q33" s="38">
        <f>(0.24*J33)*Q$7/Q$6</f>
        <v>37490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71" t="s">
        <v>392</v>
      </c>
    </row>
    <row r="34" spans="1:40" s="64" customFormat="1">
      <c r="A34" s="73"/>
      <c r="B34" s="74"/>
      <c r="C34" s="74"/>
      <c r="D34" s="75"/>
      <c r="E34" s="76"/>
      <c r="F34" s="77"/>
      <c r="G34" s="77"/>
      <c r="H34" s="78"/>
      <c r="I34" s="79"/>
      <c r="J34" s="26"/>
      <c r="K34" s="26"/>
      <c r="L34" s="26"/>
      <c r="M34" s="2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8"/>
    </row>
    <row r="35" spans="1:40" s="64" customFormat="1" ht="52.8">
      <c r="A35" s="80" t="s">
        <v>372</v>
      </c>
      <c r="B35" s="58" t="s">
        <v>328</v>
      </c>
      <c r="C35" s="81" t="s">
        <v>373</v>
      </c>
      <c r="D35" s="82">
        <v>3</v>
      </c>
      <c r="E35" s="60" t="s">
        <v>326</v>
      </c>
      <c r="F35" s="61" t="s">
        <v>344</v>
      </c>
      <c r="G35" s="61" t="s">
        <v>345</v>
      </c>
      <c r="H35" s="62"/>
      <c r="I35" s="63" t="s">
        <v>370</v>
      </c>
      <c r="J35" s="50"/>
      <c r="K35" s="50"/>
      <c r="L35" s="50"/>
      <c r="M35" s="5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89" t="s">
        <v>230</v>
      </c>
    </row>
    <row r="36" spans="1:40" s="64" customFormat="1" ht="52.8">
      <c r="A36" s="80" t="s">
        <v>372</v>
      </c>
      <c r="B36" s="58" t="s">
        <v>328</v>
      </c>
      <c r="C36" s="81" t="s">
        <v>380</v>
      </c>
      <c r="D36" s="82">
        <v>3</v>
      </c>
      <c r="E36" s="60" t="s">
        <v>326</v>
      </c>
      <c r="F36" s="61" t="s">
        <v>344</v>
      </c>
      <c r="G36" s="61" t="s">
        <v>345</v>
      </c>
      <c r="H36" s="62"/>
      <c r="I36" s="63" t="s">
        <v>370</v>
      </c>
      <c r="J36" s="50"/>
      <c r="K36" s="50"/>
      <c r="L36" s="50"/>
      <c r="M36" s="5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89" t="s">
        <v>230</v>
      </c>
    </row>
    <row r="37" spans="1:40" s="64" customFormat="1" ht="52.8">
      <c r="A37" s="80" t="s">
        <v>372</v>
      </c>
      <c r="B37" s="58" t="s">
        <v>328</v>
      </c>
      <c r="C37" s="81" t="s">
        <v>165</v>
      </c>
      <c r="D37" s="82">
        <v>7</v>
      </c>
      <c r="E37" s="60" t="s">
        <v>326</v>
      </c>
      <c r="F37" s="61" t="s">
        <v>344</v>
      </c>
      <c r="G37" s="61" t="s">
        <v>345</v>
      </c>
      <c r="H37" s="62"/>
      <c r="I37" s="63" t="s">
        <v>370</v>
      </c>
      <c r="J37" s="50"/>
      <c r="K37" s="50"/>
      <c r="L37" s="50"/>
      <c r="M37" s="5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89" t="s">
        <v>17</v>
      </c>
    </row>
    <row r="38" spans="1:40" s="64" customFormat="1" ht="66">
      <c r="A38" s="80" t="s">
        <v>372</v>
      </c>
      <c r="B38" s="58" t="s">
        <v>328</v>
      </c>
      <c r="C38" s="81" t="s">
        <v>166</v>
      </c>
      <c r="D38" s="82">
        <v>3</v>
      </c>
      <c r="E38" s="60" t="s">
        <v>326</v>
      </c>
      <c r="F38" s="61" t="s">
        <v>167</v>
      </c>
      <c r="G38" s="61" t="s">
        <v>345</v>
      </c>
      <c r="H38" s="62"/>
      <c r="I38" s="63" t="s">
        <v>370</v>
      </c>
      <c r="J38" s="50">
        <v>256000</v>
      </c>
      <c r="K38" s="50">
        <f>0.76*J38</f>
        <v>194560</v>
      </c>
      <c r="L38" s="50">
        <f>0.24*J38</f>
        <v>61440</v>
      </c>
      <c r="M38" s="52">
        <v>2006</v>
      </c>
      <c r="N38" s="72"/>
      <c r="O38" s="72"/>
      <c r="P38" s="72"/>
      <c r="Q38" s="72">
        <f>0.24*J38</f>
        <v>61440</v>
      </c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89" t="s">
        <v>486</v>
      </c>
    </row>
    <row r="39" spans="1:40" s="64" customFormat="1" ht="52.8">
      <c r="A39" s="80" t="s">
        <v>372</v>
      </c>
      <c r="B39" s="58" t="s">
        <v>328</v>
      </c>
      <c r="C39" s="81" t="s">
        <v>18</v>
      </c>
      <c r="D39" s="82">
        <v>5</v>
      </c>
      <c r="E39" s="60" t="s">
        <v>326</v>
      </c>
      <c r="F39" s="61" t="s">
        <v>344</v>
      </c>
      <c r="G39" s="61" t="s">
        <v>345</v>
      </c>
      <c r="H39" s="62" t="s">
        <v>19</v>
      </c>
      <c r="I39" s="63" t="s">
        <v>370</v>
      </c>
      <c r="J39" s="50">
        <v>5000</v>
      </c>
      <c r="K39" s="50">
        <f>0.76*J39</f>
        <v>3800</v>
      </c>
      <c r="L39" s="50">
        <f>0.24*J39</f>
        <v>1200</v>
      </c>
      <c r="M39" s="52">
        <v>2006</v>
      </c>
      <c r="N39" s="72"/>
      <c r="O39" s="72"/>
      <c r="P39" s="72"/>
      <c r="Q39" s="72">
        <f>0.24*J39</f>
        <v>1200</v>
      </c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89" t="s">
        <v>488</v>
      </c>
    </row>
    <row r="40" spans="1:40" s="64" customFormat="1" ht="39.6">
      <c r="A40" s="80" t="s">
        <v>372</v>
      </c>
      <c r="B40" s="58" t="s">
        <v>328</v>
      </c>
      <c r="C40" s="81" t="s">
        <v>20</v>
      </c>
      <c r="D40" s="82">
        <v>5</v>
      </c>
      <c r="E40" s="60" t="s">
        <v>326</v>
      </c>
      <c r="F40" s="61" t="s">
        <v>344</v>
      </c>
      <c r="G40" s="61" t="s">
        <v>345</v>
      </c>
      <c r="H40" s="62"/>
      <c r="I40" s="63" t="s">
        <v>370</v>
      </c>
      <c r="J40" s="50"/>
      <c r="K40" s="50"/>
      <c r="L40" s="50"/>
      <c r="M40" s="5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89" t="s">
        <v>22</v>
      </c>
    </row>
    <row r="41" spans="1:40" s="64" customFormat="1" ht="39.6">
      <c r="A41" s="80" t="s">
        <v>372</v>
      </c>
      <c r="B41" s="58" t="s">
        <v>328</v>
      </c>
      <c r="C41" s="81" t="s">
        <v>23</v>
      </c>
      <c r="D41" s="82">
        <v>10</v>
      </c>
      <c r="E41" s="60" t="s">
        <v>326</v>
      </c>
      <c r="F41" s="61" t="s">
        <v>344</v>
      </c>
      <c r="G41" s="61" t="s">
        <v>345</v>
      </c>
      <c r="H41" s="62"/>
      <c r="I41" s="63" t="s">
        <v>370</v>
      </c>
      <c r="J41" s="50"/>
      <c r="K41" s="50"/>
      <c r="L41" s="50"/>
      <c r="M41" s="5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89" t="s">
        <v>24</v>
      </c>
    </row>
    <row r="42" spans="1:40" s="64" customFormat="1" ht="39.6">
      <c r="A42" s="80" t="s">
        <v>372</v>
      </c>
      <c r="B42" s="58" t="s">
        <v>328</v>
      </c>
      <c r="C42" s="81" t="s">
        <v>25</v>
      </c>
      <c r="D42" s="82">
        <v>1</v>
      </c>
      <c r="E42" s="60" t="s">
        <v>326</v>
      </c>
      <c r="F42" s="61" t="s">
        <v>344</v>
      </c>
      <c r="G42" s="61" t="s">
        <v>345</v>
      </c>
      <c r="H42" s="62"/>
      <c r="I42" s="63" t="s">
        <v>370</v>
      </c>
      <c r="J42" s="50"/>
      <c r="K42" s="50"/>
      <c r="L42" s="50"/>
      <c r="M42" s="5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89" t="s">
        <v>22</v>
      </c>
    </row>
    <row r="43" spans="1:40" s="64" customFormat="1" ht="40.200000000000003" thickBot="1">
      <c r="A43" s="83" t="s">
        <v>372</v>
      </c>
      <c r="B43" s="30" t="s">
        <v>328</v>
      </c>
      <c r="C43" s="84" t="s">
        <v>26</v>
      </c>
      <c r="D43" s="85">
        <v>2</v>
      </c>
      <c r="E43" s="67" t="s">
        <v>326</v>
      </c>
      <c r="F43" s="68" t="s">
        <v>344</v>
      </c>
      <c r="G43" s="68" t="s">
        <v>345</v>
      </c>
      <c r="H43" s="69"/>
      <c r="I43" s="70" t="s">
        <v>370</v>
      </c>
      <c r="J43" s="36"/>
      <c r="K43" s="36"/>
      <c r="L43" s="36"/>
      <c r="M43" s="37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71" t="s">
        <v>24</v>
      </c>
    </row>
    <row r="44" spans="1:40" s="64" customFormat="1">
      <c r="A44" s="163"/>
      <c r="B44" s="96"/>
      <c r="C44" s="164"/>
      <c r="D44" s="165"/>
      <c r="E44" s="98"/>
      <c r="F44" s="99"/>
      <c r="G44" s="99"/>
      <c r="H44" s="100"/>
      <c r="I44" s="101"/>
      <c r="J44" s="90"/>
      <c r="K44" s="90"/>
      <c r="L44" s="90"/>
      <c r="M44" s="91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103"/>
    </row>
    <row r="45" spans="1:40" s="64" customFormat="1" ht="39.6">
      <c r="A45" s="57" t="s">
        <v>30</v>
      </c>
      <c r="B45" s="58" t="s">
        <v>328</v>
      </c>
      <c r="C45" s="58" t="s">
        <v>31</v>
      </c>
      <c r="D45" s="59">
        <v>4</v>
      </c>
      <c r="E45" s="60" t="s">
        <v>326</v>
      </c>
      <c r="F45" s="61">
        <v>2015</v>
      </c>
      <c r="G45" s="61" t="s">
        <v>32</v>
      </c>
      <c r="H45" s="62" t="s">
        <v>32</v>
      </c>
      <c r="I45" s="63" t="s">
        <v>329</v>
      </c>
      <c r="J45" s="50"/>
      <c r="K45" s="50"/>
      <c r="L45" s="50"/>
      <c r="M45" s="5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89" t="s">
        <v>33</v>
      </c>
    </row>
    <row r="46" spans="1:40" s="64" customFormat="1" ht="26.4">
      <c r="A46" s="57" t="s">
        <v>30</v>
      </c>
      <c r="B46" s="58" t="s">
        <v>328</v>
      </c>
      <c r="C46" s="58" t="s">
        <v>383</v>
      </c>
      <c r="D46" s="59">
        <v>17</v>
      </c>
      <c r="E46" s="60" t="s">
        <v>326</v>
      </c>
      <c r="F46" s="61">
        <v>2025</v>
      </c>
      <c r="G46" s="61" t="s">
        <v>34</v>
      </c>
      <c r="H46" s="62" t="s">
        <v>32</v>
      </c>
      <c r="I46" s="63" t="s">
        <v>329</v>
      </c>
      <c r="J46" s="90"/>
      <c r="K46" s="90"/>
      <c r="L46" s="90"/>
      <c r="M46" s="91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3"/>
    </row>
    <row r="47" spans="1:40" s="64" customFormat="1" ht="52.8">
      <c r="A47" s="57" t="s">
        <v>30</v>
      </c>
      <c r="B47" s="58"/>
      <c r="C47" s="58" t="s">
        <v>420</v>
      </c>
      <c r="D47" s="59" t="s">
        <v>419</v>
      </c>
      <c r="E47" s="60"/>
      <c r="F47" s="61"/>
      <c r="G47" s="61"/>
      <c r="H47" s="62"/>
      <c r="I47" s="63"/>
      <c r="J47" s="90">
        <v>1666666</v>
      </c>
      <c r="K47" s="50">
        <f>J47-L47</f>
        <v>1094832.8953999998</v>
      </c>
      <c r="L47" s="50">
        <f>SUM(N47:AM47)</f>
        <v>571833.10460000008</v>
      </c>
      <c r="M47" s="91">
        <v>2015</v>
      </c>
      <c r="N47" s="92"/>
      <c r="O47" s="92"/>
      <c r="P47" s="92"/>
      <c r="Q47" s="92">
        <f>0.1305*J47</f>
        <v>217499.913</v>
      </c>
      <c r="R47" s="92"/>
      <c r="S47" s="92"/>
      <c r="T47" s="92"/>
      <c r="U47" s="92"/>
      <c r="V47" s="92"/>
      <c r="W47" s="92"/>
      <c r="X47" s="92">
        <f>0.166*J47</f>
        <v>276666.55600000004</v>
      </c>
      <c r="Y47" s="92"/>
      <c r="Z47" s="92">
        <f>0.0466*J47</f>
        <v>77666.635600000009</v>
      </c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3" t="s">
        <v>492</v>
      </c>
    </row>
    <row r="48" spans="1:40" s="64" customFormat="1" ht="52.8">
      <c r="A48" s="57" t="s">
        <v>30</v>
      </c>
      <c r="B48" s="58"/>
      <c r="C48" s="58" t="s">
        <v>421</v>
      </c>
      <c r="D48" s="59" t="s">
        <v>419</v>
      </c>
      <c r="E48" s="60"/>
      <c r="F48" s="61"/>
      <c r="G48" s="61"/>
      <c r="H48" s="62"/>
      <c r="I48" s="63"/>
      <c r="J48" s="90">
        <v>1666667</v>
      </c>
      <c r="K48" s="50">
        <f>J48-L48</f>
        <v>1094833.5523000001</v>
      </c>
      <c r="L48" s="50">
        <f>SUM(N48:AM48)</f>
        <v>571833.44770000002</v>
      </c>
      <c r="M48" s="91">
        <v>2016</v>
      </c>
      <c r="N48" s="92"/>
      <c r="O48" s="92"/>
      <c r="P48" s="92"/>
      <c r="Q48" s="92">
        <f>0.1305*J48</f>
        <v>217500.0435</v>
      </c>
      <c r="R48" s="92"/>
      <c r="S48" s="92"/>
      <c r="T48" s="92"/>
      <c r="U48" s="92"/>
      <c r="V48" s="92"/>
      <c r="W48" s="92"/>
      <c r="X48" s="92">
        <f>0.166*J48</f>
        <v>276666.72200000001</v>
      </c>
      <c r="Y48" s="92"/>
      <c r="Z48" s="92">
        <f>0.0466*J48</f>
        <v>77666.68220000001</v>
      </c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3" t="s">
        <v>493</v>
      </c>
    </row>
    <row r="49" spans="1:40" s="64" customFormat="1" ht="26.4">
      <c r="A49" s="57" t="s">
        <v>30</v>
      </c>
      <c r="B49" s="58" t="s">
        <v>328</v>
      </c>
      <c r="C49" s="58" t="s">
        <v>35</v>
      </c>
      <c r="D49" s="59">
        <v>4</v>
      </c>
      <c r="E49" s="60" t="s">
        <v>326</v>
      </c>
      <c r="F49" s="61">
        <v>2035</v>
      </c>
      <c r="G49" s="61" t="s">
        <v>36</v>
      </c>
      <c r="H49" s="62" t="s">
        <v>32</v>
      </c>
      <c r="I49" s="63" t="s">
        <v>329</v>
      </c>
      <c r="J49" s="90">
        <v>745200</v>
      </c>
      <c r="K49" s="50">
        <f>J49-L49</f>
        <v>485870.4</v>
      </c>
      <c r="L49" s="50">
        <f>SUM(N49:AM49)</f>
        <v>259329.59999999998</v>
      </c>
      <c r="M49" s="91">
        <v>2017</v>
      </c>
      <c r="N49" s="92"/>
      <c r="O49" s="92"/>
      <c r="P49" s="92"/>
      <c r="Q49" s="92">
        <f>0.1334*J49</f>
        <v>99409.68</v>
      </c>
      <c r="R49" s="92"/>
      <c r="S49" s="92"/>
      <c r="T49" s="92"/>
      <c r="U49" s="92"/>
      <c r="V49" s="92"/>
      <c r="W49" s="92"/>
      <c r="X49" s="92">
        <f>0.1598*J49</f>
        <v>119082.95999999999</v>
      </c>
      <c r="Y49" s="92"/>
      <c r="Z49" s="92">
        <f>0.0548*J49</f>
        <v>40836.959999999999</v>
      </c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89" t="s">
        <v>422</v>
      </c>
    </row>
    <row r="50" spans="1:40" s="64" customFormat="1" ht="27" thickBot="1">
      <c r="A50" s="65" t="s">
        <v>30</v>
      </c>
      <c r="B50" s="30" t="s">
        <v>28</v>
      </c>
      <c r="C50" s="30" t="s">
        <v>37</v>
      </c>
      <c r="D50" s="66">
        <v>3</v>
      </c>
      <c r="E50" s="67" t="s">
        <v>326</v>
      </c>
      <c r="F50" s="68" t="s">
        <v>38</v>
      </c>
      <c r="G50" s="68"/>
      <c r="H50" s="69">
        <v>2008</v>
      </c>
      <c r="I50" s="70" t="s">
        <v>329</v>
      </c>
      <c r="J50" s="36"/>
      <c r="K50" s="36"/>
      <c r="L50" s="36"/>
      <c r="M50" s="37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71" t="s">
        <v>39</v>
      </c>
    </row>
    <row r="51" spans="1:40" s="64" customFormat="1">
      <c r="A51" s="95"/>
      <c r="B51" s="96"/>
      <c r="C51" s="96"/>
      <c r="D51" s="97"/>
      <c r="E51" s="98"/>
      <c r="F51" s="99"/>
      <c r="G51" s="99"/>
      <c r="H51" s="100"/>
      <c r="I51" s="182"/>
      <c r="J51" s="51"/>
      <c r="K51" s="90"/>
      <c r="L51" s="90"/>
      <c r="M51" s="102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103"/>
    </row>
    <row r="52" spans="1:40" s="64" customFormat="1" ht="53.4" thickBot="1">
      <c r="A52" s="65" t="s">
        <v>510</v>
      </c>
      <c r="B52" s="30"/>
      <c r="C52" s="30" t="s">
        <v>518</v>
      </c>
      <c r="D52" s="66" t="s">
        <v>511</v>
      </c>
      <c r="E52" s="67"/>
      <c r="F52" s="68"/>
      <c r="G52" s="68"/>
      <c r="H52" s="69"/>
      <c r="I52" s="70"/>
      <c r="J52" s="36">
        <v>1754386</v>
      </c>
      <c r="K52" s="36">
        <f>J52-L52</f>
        <v>1000000.02</v>
      </c>
      <c r="L52" s="36">
        <f>SUM(N52:AM52)</f>
        <v>754385.98</v>
      </c>
      <c r="M52" s="37">
        <v>2021</v>
      </c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>
        <f>(0.43*J52)</f>
        <v>754385.98</v>
      </c>
      <c r="AI52" s="38"/>
      <c r="AJ52" s="38"/>
      <c r="AK52" s="38"/>
      <c r="AL52" s="38"/>
      <c r="AM52" s="38"/>
      <c r="AN52" s="265" t="s">
        <v>525</v>
      </c>
    </row>
    <row r="53" spans="1:40" s="64" customFormat="1" ht="53.4" thickBot="1">
      <c r="A53" s="65" t="s">
        <v>510</v>
      </c>
      <c r="B53" s="30"/>
      <c r="C53" s="30" t="s">
        <v>518</v>
      </c>
      <c r="D53" s="66" t="s">
        <v>511</v>
      </c>
      <c r="E53" s="67"/>
      <c r="F53" s="68"/>
      <c r="G53" s="68"/>
      <c r="H53" s="69"/>
      <c r="I53" s="70"/>
      <c r="J53" s="36">
        <v>912281</v>
      </c>
      <c r="K53" s="36">
        <f>J53-L53</f>
        <v>520000.17</v>
      </c>
      <c r="L53" s="36">
        <f>SUM(N53:AM53)</f>
        <v>392280.83</v>
      </c>
      <c r="M53" s="37">
        <v>2023</v>
      </c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>
        <f>(0.43*J53)</f>
        <v>392280.83</v>
      </c>
      <c r="AI53" s="38"/>
      <c r="AJ53" s="38"/>
      <c r="AK53" s="38"/>
      <c r="AL53" s="38"/>
      <c r="AM53" s="38"/>
      <c r="AN53" s="265" t="s">
        <v>525</v>
      </c>
    </row>
    <row r="54" spans="1:40" s="64" customFormat="1">
      <c r="A54" s="95"/>
      <c r="B54" s="96"/>
      <c r="C54" s="96"/>
      <c r="D54" s="97"/>
      <c r="E54" s="98"/>
      <c r="F54" s="99"/>
      <c r="G54" s="99"/>
      <c r="H54" s="100"/>
      <c r="I54" s="182"/>
      <c r="J54" s="51"/>
      <c r="K54" s="51"/>
      <c r="L54" s="51"/>
      <c r="M54" s="102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103"/>
    </row>
    <row r="55" spans="1:40" s="64" customFormat="1" ht="26.4">
      <c r="A55" s="57" t="s">
        <v>40</v>
      </c>
      <c r="B55" s="58" t="s">
        <v>328</v>
      </c>
      <c r="C55" s="58" t="s">
        <v>41</v>
      </c>
      <c r="D55" s="59" t="s">
        <v>412</v>
      </c>
      <c r="E55" s="60" t="s">
        <v>326</v>
      </c>
      <c r="F55" s="61" t="s">
        <v>42</v>
      </c>
      <c r="G55" s="61"/>
      <c r="H55" s="62">
        <v>2009</v>
      </c>
      <c r="I55" s="63" t="s">
        <v>329</v>
      </c>
      <c r="J55" s="50">
        <v>1333333</v>
      </c>
      <c r="K55" s="50">
        <f>J55-L55</f>
        <v>624799.84379999992</v>
      </c>
      <c r="L55" s="50">
        <f>SUM(N55:AM55)</f>
        <v>708533.15620000008</v>
      </c>
      <c r="M55" s="52">
        <v>2011</v>
      </c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>
        <f>(0.0245*J55)*AC$7/AC$6</f>
        <v>51333.320500000009</v>
      </c>
      <c r="AD55" s="72"/>
      <c r="AE55" s="72"/>
      <c r="AF55" s="72"/>
      <c r="AG55" s="72">
        <f>(0.3162*J55)*AG$7/AG$6</f>
        <v>657199.83570000005</v>
      </c>
      <c r="AH55" s="72"/>
      <c r="AI55" s="72"/>
      <c r="AJ55" s="72"/>
      <c r="AK55" s="72"/>
      <c r="AL55" s="72"/>
      <c r="AM55" s="72"/>
      <c r="AN55" s="89" t="s">
        <v>475</v>
      </c>
    </row>
    <row r="56" spans="1:40" s="64" customFormat="1" ht="26.4">
      <c r="A56" s="57" t="s">
        <v>40</v>
      </c>
      <c r="B56" s="58" t="s">
        <v>328</v>
      </c>
      <c r="C56" s="58" t="s">
        <v>41</v>
      </c>
      <c r="D56" s="59" t="s">
        <v>412</v>
      </c>
      <c r="E56" s="60" t="s">
        <v>326</v>
      </c>
      <c r="F56" s="61" t="s">
        <v>42</v>
      </c>
      <c r="G56" s="61"/>
      <c r="H56" s="62">
        <v>2009</v>
      </c>
      <c r="I56" s="63" t="s">
        <v>329</v>
      </c>
      <c r="J56" s="50">
        <v>1333333</v>
      </c>
      <c r="K56" s="50">
        <f>J56-L56</f>
        <v>624799.84379999992</v>
      </c>
      <c r="L56" s="50">
        <f>SUM(N56:AM56)</f>
        <v>708533.15620000008</v>
      </c>
      <c r="M56" s="52">
        <v>2012</v>
      </c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>
        <f>(0.0245*J56)*AC$7/AC$6</f>
        <v>51333.320500000009</v>
      </c>
      <c r="AD56" s="72"/>
      <c r="AE56" s="72"/>
      <c r="AF56" s="72"/>
      <c r="AG56" s="72">
        <f>(0.3162*J56)*AG$7/AG$6</f>
        <v>657199.83570000005</v>
      </c>
      <c r="AH56" s="72"/>
      <c r="AI56" s="72"/>
      <c r="AJ56" s="72"/>
      <c r="AK56" s="72"/>
      <c r="AL56" s="72"/>
      <c r="AM56" s="72"/>
      <c r="AN56" s="89" t="s">
        <v>475</v>
      </c>
    </row>
    <row r="57" spans="1:40" s="64" customFormat="1" ht="27" thickBot="1">
      <c r="A57" s="65" t="s">
        <v>40</v>
      </c>
      <c r="B57" s="30" t="s">
        <v>328</v>
      </c>
      <c r="C57" s="30" t="s">
        <v>41</v>
      </c>
      <c r="D57" s="66" t="s">
        <v>412</v>
      </c>
      <c r="E57" s="67" t="s">
        <v>326</v>
      </c>
      <c r="F57" s="68" t="s">
        <v>42</v>
      </c>
      <c r="G57" s="68"/>
      <c r="H57" s="69">
        <v>2009</v>
      </c>
      <c r="I57" s="70" t="s">
        <v>329</v>
      </c>
      <c r="J57" s="36">
        <v>1333334</v>
      </c>
      <c r="K57" s="36">
        <f>J57-L57</f>
        <v>624800.31239999994</v>
      </c>
      <c r="L57" s="36">
        <f>SUM(N57:AM57)</f>
        <v>708533.68760000006</v>
      </c>
      <c r="M57" s="37">
        <v>2013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>
        <f>(0.0245*J57)*AC$7/AC$6</f>
        <v>51333.359000000004</v>
      </c>
      <c r="AD57" s="38"/>
      <c r="AE57" s="38"/>
      <c r="AF57" s="38"/>
      <c r="AG57" s="38">
        <f>(0.3162*J57)*AG$7/AG$6</f>
        <v>657200.32860000001</v>
      </c>
      <c r="AH57" s="38"/>
      <c r="AI57" s="38"/>
      <c r="AJ57" s="38"/>
      <c r="AK57" s="38"/>
      <c r="AL57" s="38"/>
      <c r="AM57" s="38"/>
      <c r="AN57" s="89" t="s">
        <v>475</v>
      </c>
    </row>
    <row r="58" spans="1:40" s="64" customFormat="1">
      <c r="A58" s="73"/>
      <c r="B58" s="74"/>
      <c r="C58" s="74"/>
      <c r="D58" s="75"/>
      <c r="E58" s="76"/>
      <c r="F58" s="77"/>
      <c r="G58" s="77"/>
      <c r="H58" s="78"/>
      <c r="I58" s="63"/>
      <c r="J58" s="26"/>
      <c r="K58" s="26"/>
      <c r="L58" s="26"/>
      <c r="M58" s="2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28"/>
    </row>
    <row r="59" spans="1:40" s="238" customFormat="1" ht="26.4">
      <c r="A59" s="57" t="s">
        <v>504</v>
      </c>
      <c r="B59" s="58"/>
      <c r="C59" s="268" t="s">
        <v>516</v>
      </c>
      <c r="D59" s="253" t="s">
        <v>435</v>
      </c>
      <c r="E59" s="60"/>
      <c r="F59" s="61"/>
      <c r="G59" s="61"/>
      <c r="H59" s="62"/>
      <c r="I59" s="63"/>
      <c r="J59" s="50">
        <v>1000000</v>
      </c>
      <c r="K59" s="50">
        <f>J59-L59</f>
        <v>470000</v>
      </c>
      <c r="L59" s="50">
        <f>SUM(N59:AM59)</f>
        <v>530000</v>
      </c>
      <c r="M59" s="52">
        <v>2019</v>
      </c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>
        <f>(0.53 *J59)</f>
        <v>530000</v>
      </c>
      <c r="AK59" s="72"/>
      <c r="AL59" s="72"/>
      <c r="AM59" s="72"/>
      <c r="AN59" s="89" t="s">
        <v>507</v>
      </c>
    </row>
    <row r="60" spans="1:40" s="266" customFormat="1" ht="27" thickBot="1">
      <c r="A60" s="65" t="s">
        <v>504</v>
      </c>
      <c r="B60" s="30"/>
      <c r="C60" s="258" t="s">
        <v>516</v>
      </c>
      <c r="D60" s="259" t="s">
        <v>435</v>
      </c>
      <c r="E60" s="67"/>
      <c r="F60" s="68"/>
      <c r="G60" s="68"/>
      <c r="H60" s="69"/>
      <c r="I60" s="70"/>
      <c r="J60" s="36">
        <v>1000000</v>
      </c>
      <c r="K60" s="36">
        <f>J60-L60</f>
        <v>470000</v>
      </c>
      <c r="L60" s="36">
        <f>SUM(N60:AM60)</f>
        <v>530000</v>
      </c>
      <c r="M60" s="37">
        <v>2020</v>
      </c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>
        <f>(0.53 *J60)</f>
        <v>530000</v>
      </c>
      <c r="AK60" s="38"/>
      <c r="AL60" s="38"/>
      <c r="AM60" s="38"/>
      <c r="AN60" s="71" t="s">
        <v>507</v>
      </c>
    </row>
    <row r="61" spans="1:40" s="64" customFormat="1">
      <c r="A61" s="73"/>
      <c r="B61" s="74"/>
      <c r="C61" s="74"/>
      <c r="D61" s="75"/>
      <c r="E61" s="76"/>
      <c r="F61" s="77"/>
      <c r="G61" s="77"/>
      <c r="H61" s="78"/>
      <c r="I61" s="63"/>
      <c r="J61" s="26"/>
      <c r="K61" s="26"/>
      <c r="L61" s="26"/>
      <c r="M61" s="2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28"/>
    </row>
    <row r="62" spans="1:40" s="64" customFormat="1" ht="27" thickBot="1">
      <c r="A62" s="65" t="s">
        <v>393</v>
      </c>
      <c r="B62" s="30"/>
      <c r="C62" s="30" t="s">
        <v>394</v>
      </c>
      <c r="D62" s="66" t="s">
        <v>435</v>
      </c>
      <c r="E62" s="67"/>
      <c r="F62" s="68"/>
      <c r="G62" s="68"/>
      <c r="H62" s="69"/>
      <c r="I62" s="70"/>
      <c r="J62" s="36">
        <v>2000000</v>
      </c>
      <c r="K62" s="36">
        <f>J62-L62</f>
        <v>1000000</v>
      </c>
      <c r="L62" s="36">
        <f>SUM(N62:AM62)</f>
        <v>1000000</v>
      </c>
      <c r="M62" s="37">
        <v>2012</v>
      </c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>
        <f>(0.33*J62)*AJ$7/AJ$6</f>
        <v>1000000</v>
      </c>
      <c r="AK62" s="38"/>
      <c r="AL62" s="38"/>
      <c r="AM62" s="38"/>
      <c r="AN62" s="71" t="s">
        <v>505</v>
      </c>
    </row>
    <row r="63" spans="1:40" s="64" customFormat="1">
      <c r="A63" s="73"/>
      <c r="B63" s="74"/>
      <c r="C63" s="74"/>
      <c r="D63" s="75"/>
      <c r="E63" s="76"/>
      <c r="F63" s="77"/>
      <c r="G63" s="77"/>
      <c r="H63" s="78"/>
      <c r="I63" s="79"/>
      <c r="J63" s="26"/>
      <c r="K63" s="26"/>
      <c r="L63" s="26"/>
      <c r="M63" s="2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28"/>
    </row>
    <row r="64" spans="1:40" s="64" customFormat="1" ht="39.6">
      <c r="A64" s="73" t="s">
        <v>43</v>
      </c>
      <c r="B64" s="74" t="s">
        <v>328</v>
      </c>
      <c r="C64" s="74" t="s">
        <v>44</v>
      </c>
      <c r="D64" s="75" t="s">
        <v>140</v>
      </c>
      <c r="E64" s="76" t="s">
        <v>326</v>
      </c>
      <c r="F64" s="77" t="s">
        <v>45</v>
      </c>
      <c r="G64" s="77"/>
      <c r="H64" s="78"/>
      <c r="I64" s="63" t="s">
        <v>370</v>
      </c>
      <c r="J64" s="26">
        <v>75328</v>
      </c>
      <c r="K64" s="50">
        <f>0.8807*J64</f>
        <v>66341.369600000005</v>
      </c>
      <c r="L64" s="50">
        <f>0.1193*J64</f>
        <v>8986.6304</v>
      </c>
      <c r="M64" s="27">
        <v>2005</v>
      </c>
      <c r="N64" s="47"/>
      <c r="O64" s="47"/>
      <c r="P64" s="47"/>
      <c r="Q64" s="47"/>
      <c r="R64" s="47"/>
      <c r="S64" s="47"/>
      <c r="T64" s="47"/>
      <c r="U64" s="47"/>
      <c r="V64" s="47"/>
      <c r="W64" s="47">
        <f>0.0162*J64</f>
        <v>1220.3136</v>
      </c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>
        <f>0.0118*J64</f>
        <v>888.87040000000002</v>
      </c>
      <c r="AJ64" s="47"/>
      <c r="AK64" s="47">
        <f>0.0913*J64</f>
        <v>6877.4464000000007</v>
      </c>
      <c r="AL64" s="47"/>
      <c r="AM64" s="47"/>
      <c r="AN64" s="28" t="s">
        <v>476</v>
      </c>
    </row>
    <row r="65" spans="1:40" s="64" customFormat="1" ht="26.4">
      <c r="A65" s="73" t="s">
        <v>43</v>
      </c>
      <c r="B65" s="74" t="s">
        <v>328</v>
      </c>
      <c r="C65" s="74" t="s">
        <v>44</v>
      </c>
      <c r="D65" s="75" t="s">
        <v>140</v>
      </c>
      <c r="E65" s="76" t="s">
        <v>326</v>
      </c>
      <c r="F65" s="77" t="s">
        <v>45</v>
      </c>
      <c r="G65" s="77"/>
      <c r="H65" s="78"/>
      <c r="I65" s="63" t="s">
        <v>370</v>
      </c>
      <c r="J65" s="26">
        <v>1218624</v>
      </c>
      <c r="K65" s="50">
        <f>0.8807*J65</f>
        <v>1073242.1568</v>
      </c>
      <c r="L65" s="50">
        <f>0.1193*J65</f>
        <v>145381.8432</v>
      </c>
      <c r="M65" s="27">
        <v>2006</v>
      </c>
      <c r="N65" s="47"/>
      <c r="O65" s="47"/>
      <c r="P65" s="47"/>
      <c r="Q65" s="47"/>
      <c r="R65" s="47"/>
      <c r="S65" s="47"/>
      <c r="T65" s="47"/>
      <c r="U65" s="47"/>
      <c r="V65" s="47"/>
      <c r="W65" s="47">
        <f>0.0162*J65</f>
        <v>19741.7088</v>
      </c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>
        <f>0.0118*J65</f>
        <v>14379.763199999999</v>
      </c>
      <c r="AJ65" s="47"/>
      <c r="AK65" s="47">
        <f>0.0913*J65</f>
        <v>111260.37120000001</v>
      </c>
      <c r="AL65" s="47"/>
      <c r="AM65" s="47"/>
      <c r="AN65" s="28"/>
    </row>
    <row r="66" spans="1:40" s="64" customFormat="1" ht="26.4">
      <c r="A66" s="57" t="s">
        <v>43</v>
      </c>
      <c r="B66" s="58" t="s">
        <v>328</v>
      </c>
      <c r="C66" s="58" t="s">
        <v>46</v>
      </c>
      <c r="D66" s="59">
        <v>66</v>
      </c>
      <c r="E66" s="60" t="s">
        <v>326</v>
      </c>
      <c r="F66" s="61" t="s">
        <v>47</v>
      </c>
      <c r="G66" s="61"/>
      <c r="H66" s="62"/>
      <c r="I66" s="63" t="s">
        <v>370</v>
      </c>
      <c r="J66" s="50"/>
      <c r="K66" s="50"/>
      <c r="L66" s="50"/>
      <c r="M66" s="5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89" t="s">
        <v>48</v>
      </c>
    </row>
    <row r="67" spans="1:40" s="64" customFormat="1" ht="26.4">
      <c r="A67" s="73" t="s">
        <v>43</v>
      </c>
      <c r="B67" s="74" t="s">
        <v>328</v>
      </c>
      <c r="C67" s="74" t="s">
        <v>49</v>
      </c>
      <c r="D67" s="75">
        <v>6</v>
      </c>
      <c r="E67" s="76" t="s">
        <v>326</v>
      </c>
      <c r="F67" s="77" t="s">
        <v>12</v>
      </c>
      <c r="G67" s="77" t="s">
        <v>13</v>
      </c>
      <c r="H67" s="78"/>
      <c r="I67" s="79" t="s">
        <v>329</v>
      </c>
      <c r="J67" s="26"/>
      <c r="K67" s="50"/>
      <c r="L67" s="50"/>
      <c r="M67" s="27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89" t="s">
        <v>48</v>
      </c>
    </row>
    <row r="68" spans="1:40" s="64" customFormat="1" ht="26.4">
      <c r="A68" s="73" t="s">
        <v>43</v>
      </c>
      <c r="B68" s="58" t="s">
        <v>328</v>
      </c>
      <c r="C68" s="58" t="s">
        <v>50</v>
      </c>
      <c r="D68" s="59">
        <v>49</v>
      </c>
      <c r="E68" s="60" t="s">
        <v>326</v>
      </c>
      <c r="F68" s="61" t="s">
        <v>47</v>
      </c>
      <c r="G68" s="61"/>
      <c r="H68" s="62"/>
      <c r="I68" s="63" t="s">
        <v>370</v>
      </c>
      <c r="J68" s="26"/>
      <c r="K68" s="50"/>
      <c r="L68" s="50"/>
      <c r="M68" s="27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89" t="s">
        <v>48</v>
      </c>
    </row>
    <row r="69" spans="1:40" s="64" customFormat="1" ht="26.4">
      <c r="A69" s="73" t="s">
        <v>43</v>
      </c>
      <c r="B69" s="58" t="s">
        <v>328</v>
      </c>
      <c r="C69" s="58" t="s">
        <v>51</v>
      </c>
      <c r="D69" s="59">
        <v>4</v>
      </c>
      <c r="E69" s="60" t="s">
        <v>326</v>
      </c>
      <c r="F69" s="61">
        <v>2035</v>
      </c>
      <c r="G69" s="61" t="s">
        <v>52</v>
      </c>
      <c r="H69" s="62"/>
      <c r="I69" s="63" t="s">
        <v>370</v>
      </c>
      <c r="J69" s="26"/>
      <c r="K69" s="50"/>
      <c r="L69" s="50"/>
      <c r="M69" s="27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89" t="s">
        <v>53</v>
      </c>
    </row>
    <row r="70" spans="1:40" s="64" customFormat="1" ht="26.4">
      <c r="A70" s="73" t="s">
        <v>43</v>
      </c>
      <c r="B70" s="58" t="s">
        <v>328</v>
      </c>
      <c r="C70" s="58" t="s">
        <v>54</v>
      </c>
      <c r="D70" s="59">
        <v>14</v>
      </c>
      <c r="E70" s="60" t="s">
        <v>326</v>
      </c>
      <c r="F70" s="61">
        <v>2035</v>
      </c>
      <c r="G70" s="61" t="s">
        <v>55</v>
      </c>
      <c r="H70" s="62"/>
      <c r="I70" s="63" t="s">
        <v>370</v>
      </c>
      <c r="J70" s="26"/>
      <c r="K70" s="50"/>
      <c r="L70" s="50"/>
      <c r="M70" s="27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89" t="s">
        <v>56</v>
      </c>
    </row>
    <row r="71" spans="1:40" s="64" customFormat="1" ht="26.4">
      <c r="A71" s="57" t="s">
        <v>43</v>
      </c>
      <c r="B71" s="58" t="s">
        <v>328</v>
      </c>
      <c r="C71" s="58" t="s">
        <v>54</v>
      </c>
      <c r="D71" s="59">
        <v>14</v>
      </c>
      <c r="E71" s="60" t="s">
        <v>326</v>
      </c>
      <c r="F71" s="61">
        <v>2035</v>
      </c>
      <c r="G71" s="61" t="s">
        <v>55</v>
      </c>
      <c r="H71" s="62"/>
      <c r="I71" s="63" t="s">
        <v>370</v>
      </c>
      <c r="J71" s="26"/>
      <c r="K71" s="50"/>
      <c r="L71" s="50"/>
      <c r="M71" s="27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89" t="s">
        <v>56</v>
      </c>
    </row>
    <row r="72" spans="1:40" s="64" customFormat="1" ht="26.4">
      <c r="A72" s="57" t="s">
        <v>43</v>
      </c>
      <c r="B72" s="58" t="s">
        <v>328</v>
      </c>
      <c r="C72" s="58" t="s">
        <v>57</v>
      </c>
      <c r="D72" s="59">
        <v>33</v>
      </c>
      <c r="E72" s="60" t="s">
        <v>326</v>
      </c>
      <c r="F72" s="61"/>
      <c r="G72" s="61"/>
      <c r="H72" s="62"/>
      <c r="I72" s="63"/>
      <c r="J72" s="26"/>
      <c r="K72" s="50"/>
      <c r="L72" s="50"/>
      <c r="M72" s="27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89" t="s">
        <v>48</v>
      </c>
    </row>
    <row r="73" spans="1:40" s="64" customFormat="1" ht="26.4">
      <c r="A73" s="73" t="s">
        <v>43</v>
      </c>
      <c r="B73" s="58" t="s">
        <v>328</v>
      </c>
      <c r="C73" s="58" t="s">
        <v>54</v>
      </c>
      <c r="D73" s="59">
        <v>14</v>
      </c>
      <c r="E73" s="60" t="s">
        <v>326</v>
      </c>
      <c r="F73" s="61">
        <v>2035</v>
      </c>
      <c r="G73" s="61" t="s">
        <v>55</v>
      </c>
      <c r="H73" s="62"/>
      <c r="I73" s="63" t="s">
        <v>370</v>
      </c>
      <c r="J73" s="26"/>
      <c r="K73" s="50"/>
      <c r="L73" s="50"/>
      <c r="M73" s="27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89" t="s">
        <v>56</v>
      </c>
    </row>
    <row r="74" spans="1:40" s="64" customFormat="1" ht="26.4">
      <c r="A74" s="73" t="s">
        <v>43</v>
      </c>
      <c r="B74" s="58" t="s">
        <v>328</v>
      </c>
      <c r="C74" s="58" t="s">
        <v>54</v>
      </c>
      <c r="D74" s="59">
        <v>14</v>
      </c>
      <c r="E74" s="60" t="s">
        <v>326</v>
      </c>
      <c r="F74" s="61">
        <v>2035</v>
      </c>
      <c r="G74" s="61" t="s">
        <v>55</v>
      </c>
      <c r="H74" s="62"/>
      <c r="I74" s="63" t="s">
        <v>370</v>
      </c>
      <c r="J74" s="26"/>
      <c r="K74" s="50"/>
      <c r="L74" s="50"/>
      <c r="M74" s="27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89" t="s">
        <v>56</v>
      </c>
    </row>
    <row r="75" spans="1:40" s="64" customFormat="1" ht="26.4">
      <c r="A75" s="73" t="s">
        <v>43</v>
      </c>
      <c r="B75" s="58" t="s">
        <v>328</v>
      </c>
      <c r="C75" s="58" t="s">
        <v>58</v>
      </c>
      <c r="D75" s="59">
        <v>6</v>
      </c>
      <c r="E75" s="60" t="s">
        <v>326</v>
      </c>
      <c r="F75" s="61">
        <v>2035</v>
      </c>
      <c r="G75" s="61" t="s">
        <v>55</v>
      </c>
      <c r="H75" s="62"/>
      <c r="I75" s="63" t="s">
        <v>370</v>
      </c>
      <c r="J75" s="26"/>
      <c r="K75" s="50"/>
      <c r="L75" s="50"/>
      <c r="M75" s="27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89" t="s">
        <v>53</v>
      </c>
    </row>
    <row r="76" spans="1:40" s="64" customFormat="1" ht="26.4">
      <c r="A76" s="73" t="s">
        <v>43</v>
      </c>
      <c r="B76" s="58" t="s">
        <v>328</v>
      </c>
      <c r="C76" s="58" t="s">
        <v>59</v>
      </c>
      <c r="D76" s="59">
        <v>8</v>
      </c>
      <c r="E76" s="60" t="s">
        <v>326</v>
      </c>
      <c r="F76" s="61">
        <v>2035</v>
      </c>
      <c r="G76" s="61" t="s">
        <v>60</v>
      </c>
      <c r="H76" s="62"/>
      <c r="I76" s="63" t="s">
        <v>370</v>
      </c>
      <c r="J76" s="26"/>
      <c r="K76" s="50"/>
      <c r="L76" s="50"/>
      <c r="M76" s="27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89" t="s">
        <v>53</v>
      </c>
    </row>
    <row r="77" spans="1:40" s="64" customFormat="1" ht="26.4">
      <c r="A77" s="73" t="s">
        <v>43</v>
      </c>
      <c r="B77" s="58" t="s">
        <v>328</v>
      </c>
      <c r="C77" s="58" t="s">
        <v>61</v>
      </c>
      <c r="D77" s="59">
        <v>32</v>
      </c>
      <c r="E77" s="60" t="s">
        <v>326</v>
      </c>
      <c r="F77" s="61"/>
      <c r="G77" s="61"/>
      <c r="H77" s="62"/>
      <c r="I77" s="63" t="s">
        <v>370</v>
      </c>
      <c r="J77" s="26"/>
      <c r="K77" s="50"/>
      <c r="L77" s="50"/>
      <c r="M77" s="27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89" t="s">
        <v>56</v>
      </c>
    </row>
    <row r="78" spans="1:40" s="64" customFormat="1" ht="79.8" thickBot="1">
      <c r="A78" s="57" t="s">
        <v>43</v>
      </c>
      <c r="B78" s="30" t="s">
        <v>328</v>
      </c>
      <c r="C78" s="58" t="s">
        <v>62</v>
      </c>
      <c r="D78" s="59">
        <v>16</v>
      </c>
      <c r="E78" s="60" t="s">
        <v>326</v>
      </c>
      <c r="F78" s="61" t="s">
        <v>15</v>
      </c>
      <c r="G78" s="61" t="s">
        <v>16</v>
      </c>
      <c r="H78" s="62"/>
      <c r="I78" s="63" t="s">
        <v>370</v>
      </c>
      <c r="J78" s="50"/>
      <c r="K78" s="50"/>
      <c r="L78" s="50"/>
      <c r="M78" s="5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89" t="s">
        <v>48</v>
      </c>
    </row>
    <row r="79" spans="1:40" s="213" customFormat="1" ht="79.2">
      <c r="A79" s="73" t="s">
        <v>43</v>
      </c>
      <c r="B79" s="58" t="s">
        <v>328</v>
      </c>
      <c r="C79" s="74" t="s">
        <v>409</v>
      </c>
      <c r="D79" s="75" t="s">
        <v>416</v>
      </c>
      <c r="E79" s="76" t="s">
        <v>326</v>
      </c>
      <c r="F79" s="77" t="s">
        <v>15</v>
      </c>
      <c r="G79" s="77" t="s">
        <v>16</v>
      </c>
      <c r="H79" s="78"/>
      <c r="I79" s="79" t="s">
        <v>370</v>
      </c>
      <c r="J79" s="26">
        <v>2222223</v>
      </c>
      <c r="K79" s="26">
        <f>J79-L79</f>
        <v>1505911.63818</v>
      </c>
      <c r="L79" s="26">
        <f>SUM(N79:AM79)</f>
        <v>716311.36181999999</v>
      </c>
      <c r="M79" s="27">
        <v>2011</v>
      </c>
      <c r="N79" s="47"/>
      <c r="O79" s="47"/>
      <c r="P79" s="47"/>
      <c r="Q79" s="47"/>
      <c r="R79" s="47"/>
      <c r="S79" s="47"/>
      <c r="T79" s="47"/>
      <c r="U79" s="47"/>
      <c r="V79" s="47"/>
      <c r="W79" s="47">
        <f>J79*(0.148*$W$7)</f>
        <v>65777.800799999997</v>
      </c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>
        <f>J79*(0.091*$AI$7)</f>
        <v>58644.464969999994</v>
      </c>
      <c r="AJ79" s="47"/>
      <c r="AK79" s="47">
        <f>J79*(0.761*$AK$7)</f>
        <v>591889.09604999993</v>
      </c>
      <c r="AL79" s="47"/>
      <c r="AM79" s="47"/>
      <c r="AN79" s="28" t="s">
        <v>477</v>
      </c>
    </row>
    <row r="80" spans="1:40" s="213" customFormat="1" ht="79.2">
      <c r="A80" s="57" t="s">
        <v>43</v>
      </c>
      <c r="B80" s="58" t="s">
        <v>328</v>
      </c>
      <c r="C80" s="74" t="s">
        <v>409</v>
      </c>
      <c r="D80" s="75" t="s">
        <v>416</v>
      </c>
      <c r="E80" s="76" t="s">
        <v>326</v>
      </c>
      <c r="F80" s="77" t="s">
        <v>15</v>
      </c>
      <c r="G80" s="77" t="s">
        <v>16</v>
      </c>
      <c r="H80" s="78"/>
      <c r="I80" s="79" t="s">
        <v>370</v>
      </c>
      <c r="J80" s="26">
        <v>2222222</v>
      </c>
      <c r="K80" s="26">
        <f>J80-L80</f>
        <v>1505910.96052</v>
      </c>
      <c r="L80" s="26">
        <f>SUM(N80:AM80)</f>
        <v>716311.03948000004</v>
      </c>
      <c r="M80" s="27">
        <v>2012</v>
      </c>
      <c r="N80" s="47"/>
      <c r="O80" s="47"/>
      <c r="P80" s="47"/>
      <c r="Q80" s="47"/>
      <c r="R80" s="47"/>
      <c r="S80" s="47"/>
      <c r="T80" s="47"/>
      <c r="U80" s="47"/>
      <c r="V80" s="47"/>
      <c r="W80" s="47">
        <f>J80*(0.148*$W$7)</f>
        <v>65777.771200000003</v>
      </c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>
        <f>J80*(0.091*$AI$7)</f>
        <v>58644.438579999995</v>
      </c>
      <c r="AJ80" s="47"/>
      <c r="AK80" s="47">
        <f>J80*(0.761*$AK$7)</f>
        <v>591888.8297</v>
      </c>
      <c r="AL80" s="47"/>
      <c r="AM80" s="47"/>
      <c r="AN80" s="28" t="s">
        <v>477</v>
      </c>
    </row>
    <row r="81" spans="1:40" s="213" customFormat="1" ht="79.2">
      <c r="A81" s="57" t="s">
        <v>43</v>
      </c>
      <c r="B81" s="58" t="s">
        <v>328</v>
      </c>
      <c r="C81" s="74" t="s">
        <v>409</v>
      </c>
      <c r="D81" s="75" t="s">
        <v>416</v>
      </c>
      <c r="E81" s="76" t="s">
        <v>326</v>
      </c>
      <c r="F81" s="77" t="s">
        <v>15</v>
      </c>
      <c r="G81" s="77" t="s">
        <v>16</v>
      </c>
      <c r="H81" s="78"/>
      <c r="I81" s="79" t="s">
        <v>370</v>
      </c>
      <c r="J81" s="26">
        <v>2222222</v>
      </c>
      <c r="K81" s="26">
        <f>J81-L81</f>
        <v>1505910.96052</v>
      </c>
      <c r="L81" s="26">
        <f>SUM(N81:AM81)</f>
        <v>716311.03948000004</v>
      </c>
      <c r="M81" s="27">
        <v>2013</v>
      </c>
      <c r="N81" s="47"/>
      <c r="O81" s="47"/>
      <c r="P81" s="47"/>
      <c r="Q81" s="47"/>
      <c r="R81" s="47"/>
      <c r="S81" s="47"/>
      <c r="T81" s="47"/>
      <c r="U81" s="47"/>
      <c r="V81" s="47"/>
      <c r="W81" s="47">
        <f>J81*(0.148*$W$7)</f>
        <v>65777.771200000003</v>
      </c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>
        <f>J81*(0.091*$AI$7)</f>
        <v>58644.438579999995</v>
      </c>
      <c r="AJ81" s="47"/>
      <c r="AK81" s="47">
        <f>J81*(0.761*$AK$7)</f>
        <v>591888.8297</v>
      </c>
      <c r="AL81" s="47"/>
      <c r="AM81" s="47"/>
      <c r="AN81" s="28" t="s">
        <v>477</v>
      </c>
    </row>
    <row r="82" spans="1:40" s="64" customFormat="1" ht="79.8" thickBot="1">
      <c r="A82" s="65" t="s">
        <v>43</v>
      </c>
      <c r="B82" s="30" t="s">
        <v>328</v>
      </c>
      <c r="C82" s="30" t="s">
        <v>410</v>
      </c>
      <c r="D82" s="66">
        <v>5</v>
      </c>
      <c r="E82" s="67" t="s">
        <v>326</v>
      </c>
      <c r="F82" s="68" t="s">
        <v>15</v>
      </c>
      <c r="G82" s="68" t="s">
        <v>16</v>
      </c>
      <c r="H82" s="69"/>
      <c r="I82" s="70" t="s">
        <v>370</v>
      </c>
      <c r="J82" s="36"/>
      <c r="K82" s="36"/>
      <c r="L82" s="36"/>
      <c r="M82" s="37"/>
      <c r="N82" s="38"/>
      <c r="O82" s="38"/>
      <c r="P82" s="38"/>
      <c r="Q82" s="38"/>
      <c r="R82" s="38"/>
      <c r="S82" s="38"/>
      <c r="T82" s="38"/>
      <c r="U82" s="38"/>
      <c r="V82" s="38"/>
      <c r="W82" s="38">
        <f>J82*(0.148*$W$7)</f>
        <v>0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>
        <f>J82*(0.091*$AI$7)</f>
        <v>0</v>
      </c>
      <c r="AJ82" s="38"/>
      <c r="AK82" s="38">
        <f>J82*(0.761*$AK$7)</f>
        <v>0</v>
      </c>
      <c r="AL82" s="38"/>
      <c r="AM82" s="38"/>
      <c r="AN82" s="71" t="s">
        <v>411</v>
      </c>
    </row>
    <row r="83" spans="1:40" s="64" customFormat="1">
      <c r="A83" s="73"/>
      <c r="B83" s="74"/>
      <c r="C83" s="74"/>
      <c r="D83" s="75"/>
      <c r="E83" s="76"/>
      <c r="F83" s="77"/>
      <c r="G83" s="77"/>
      <c r="H83" s="78"/>
      <c r="I83" s="79"/>
      <c r="J83" s="26"/>
      <c r="K83" s="26"/>
      <c r="L83" s="26"/>
      <c r="M83" s="2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28"/>
    </row>
    <row r="84" spans="1:40" s="64" customFormat="1" ht="27" thickBot="1">
      <c r="A84" s="65" t="s">
        <v>442</v>
      </c>
      <c r="B84" s="30"/>
      <c r="C84" s="30" t="s">
        <v>464</v>
      </c>
      <c r="D84" s="66">
        <v>1</v>
      </c>
      <c r="E84" s="67"/>
      <c r="F84" s="68"/>
      <c r="G84" s="68"/>
      <c r="H84" s="69"/>
      <c r="I84" s="70"/>
      <c r="J84" s="36">
        <v>666666</v>
      </c>
      <c r="K84" s="36">
        <f>J84-L84</f>
        <v>366666.3</v>
      </c>
      <c r="L84" s="36">
        <f>SUM(N84:AM84)</f>
        <v>299999.7</v>
      </c>
      <c r="M84" s="37">
        <v>2017</v>
      </c>
      <c r="N84" s="38"/>
      <c r="O84" s="38"/>
      <c r="P84" s="38"/>
      <c r="Q84" s="38">
        <f>0.45*J84</f>
        <v>299999.7</v>
      </c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71" t="s">
        <v>481</v>
      </c>
    </row>
    <row r="85" spans="1:40" s="64" customFormat="1">
      <c r="A85" s="73"/>
      <c r="B85" s="74"/>
      <c r="C85" s="74"/>
      <c r="D85" s="75"/>
      <c r="E85" s="76"/>
      <c r="F85" s="77"/>
      <c r="G85" s="77"/>
      <c r="H85" s="78"/>
      <c r="I85" s="79"/>
      <c r="J85" s="26"/>
      <c r="K85" s="26"/>
      <c r="L85" s="26"/>
      <c r="M85" s="2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28"/>
    </row>
    <row r="86" spans="1:40" s="64" customFormat="1" ht="52.8">
      <c r="A86" s="73" t="s">
        <v>63</v>
      </c>
      <c r="B86" s="58" t="s">
        <v>328</v>
      </c>
      <c r="C86" s="58" t="s">
        <v>229</v>
      </c>
      <c r="D86" s="59">
        <v>2</v>
      </c>
      <c r="E86" s="60"/>
      <c r="F86" s="61"/>
      <c r="G86" s="61"/>
      <c r="H86" s="62" t="s">
        <v>228</v>
      </c>
      <c r="I86" s="63"/>
      <c r="J86" s="26">
        <v>1333333</v>
      </c>
      <c r="K86" s="50">
        <f>0.7247*J86</f>
        <v>966266.42509999999</v>
      </c>
      <c r="L86" s="50">
        <f>SUM(N86:AM86)</f>
        <v>367066.57490000001</v>
      </c>
      <c r="M86" s="27">
        <v>2008</v>
      </c>
      <c r="N86" s="72"/>
      <c r="O86" s="72"/>
      <c r="P86" s="72"/>
      <c r="Q86" s="72">
        <f>(0.1344*J86)</f>
        <v>179199.9552</v>
      </c>
      <c r="R86" s="72"/>
      <c r="S86" s="72"/>
      <c r="T86" s="72">
        <f>(0.0075*J86)</f>
        <v>9999.9974999999995</v>
      </c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>
        <f>(0.1334*J86)</f>
        <v>177866.62219999998</v>
      </c>
      <c r="AK86" s="72"/>
      <c r="AL86" s="72"/>
      <c r="AM86" s="72"/>
      <c r="AN86" s="89" t="s">
        <v>494</v>
      </c>
    </row>
    <row r="87" spans="1:40" s="64" customFormat="1" ht="26.4">
      <c r="A87" s="73" t="s">
        <v>63</v>
      </c>
      <c r="B87" s="58" t="s">
        <v>328</v>
      </c>
      <c r="C87" s="58" t="s">
        <v>229</v>
      </c>
      <c r="D87" s="59">
        <v>2</v>
      </c>
      <c r="E87" s="60"/>
      <c r="F87" s="61"/>
      <c r="G87" s="61"/>
      <c r="H87" s="62" t="s">
        <v>228</v>
      </c>
      <c r="I87" s="63"/>
      <c r="J87" s="26">
        <v>1333333</v>
      </c>
      <c r="K87" s="50">
        <f>(0.5249*J87)</f>
        <v>699866.49170000001</v>
      </c>
      <c r="L87" s="50">
        <f>SUM(N87:AM87)</f>
        <v>633466.50829999999</v>
      </c>
      <c r="M87" s="27">
        <v>2009</v>
      </c>
      <c r="N87" s="72"/>
      <c r="O87" s="72"/>
      <c r="P87" s="72"/>
      <c r="Q87" s="72">
        <f>(0.2576*J87)</f>
        <v>343466.5808</v>
      </c>
      <c r="R87" s="72"/>
      <c r="S87" s="72"/>
      <c r="T87" s="72">
        <f>(0.0154*J87)</f>
        <v>20533.3282</v>
      </c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>
        <f>(0.2021*J87)</f>
        <v>269466.5993</v>
      </c>
      <c r="AK87" s="72"/>
      <c r="AL87" s="72"/>
      <c r="AM87" s="72"/>
      <c r="AN87" s="103"/>
    </row>
    <row r="88" spans="1:40" s="64" customFormat="1" ht="26.4">
      <c r="A88" s="73" t="s">
        <v>63</v>
      </c>
      <c r="B88" s="58" t="s">
        <v>328</v>
      </c>
      <c r="C88" s="58" t="s">
        <v>229</v>
      </c>
      <c r="D88" s="59">
        <v>2</v>
      </c>
      <c r="E88" s="60"/>
      <c r="F88" s="61"/>
      <c r="G88" s="61"/>
      <c r="H88" s="62" t="s">
        <v>228</v>
      </c>
      <c r="I88" s="63"/>
      <c r="J88" s="26">
        <v>1333333</v>
      </c>
      <c r="K88" s="50">
        <f>(0.5249*J88)</f>
        <v>699866.49170000001</v>
      </c>
      <c r="L88" s="50">
        <f>SUM(N88:AM88)</f>
        <v>633466.50829999999</v>
      </c>
      <c r="M88" s="27">
        <v>2010</v>
      </c>
      <c r="N88" s="72"/>
      <c r="O88" s="72"/>
      <c r="P88" s="72"/>
      <c r="Q88" s="72">
        <f>(0.2576*J88)</f>
        <v>343466.5808</v>
      </c>
      <c r="R88" s="72"/>
      <c r="S88" s="72"/>
      <c r="T88" s="72">
        <f>(0.0154*J88)</f>
        <v>20533.3282</v>
      </c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>
        <f>(0.2021*J88)</f>
        <v>269466.5993</v>
      </c>
      <c r="AK88" s="72"/>
      <c r="AL88" s="72"/>
      <c r="AM88" s="72"/>
      <c r="AN88" s="112"/>
    </row>
    <row r="89" spans="1:40" s="64" customFormat="1" ht="26.4">
      <c r="A89" s="73" t="s">
        <v>63</v>
      </c>
      <c r="B89" s="58" t="s">
        <v>328</v>
      </c>
      <c r="C89" s="58" t="s">
        <v>64</v>
      </c>
      <c r="D89" s="59">
        <v>5</v>
      </c>
      <c r="E89" s="60" t="s">
        <v>326</v>
      </c>
      <c r="F89" s="61" t="s">
        <v>65</v>
      </c>
      <c r="G89" s="61" t="s">
        <v>66</v>
      </c>
      <c r="H89" s="62" t="s">
        <v>66</v>
      </c>
      <c r="I89" s="63" t="s">
        <v>370</v>
      </c>
      <c r="J89" s="26"/>
      <c r="K89" s="50"/>
      <c r="L89" s="50"/>
      <c r="M89" s="27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112"/>
    </row>
    <row r="90" spans="1:40" s="64" customFormat="1" ht="39.6">
      <c r="A90" s="73" t="s">
        <v>63</v>
      </c>
      <c r="B90" s="58" t="s">
        <v>328</v>
      </c>
      <c r="C90" s="58" t="s">
        <v>67</v>
      </c>
      <c r="D90" s="59">
        <v>4</v>
      </c>
      <c r="E90" s="60" t="s">
        <v>326</v>
      </c>
      <c r="F90" s="61" t="s">
        <v>68</v>
      </c>
      <c r="G90" s="61" t="s">
        <v>66</v>
      </c>
      <c r="H90" s="62" t="s">
        <v>69</v>
      </c>
      <c r="I90" s="63" t="s">
        <v>370</v>
      </c>
      <c r="J90" s="26"/>
      <c r="K90" s="50"/>
      <c r="L90" s="50"/>
      <c r="M90" s="27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89" t="s">
        <v>70</v>
      </c>
    </row>
    <row r="91" spans="1:40" s="64" customFormat="1" ht="26.4">
      <c r="A91" s="73" t="s">
        <v>63</v>
      </c>
      <c r="B91" s="58" t="s">
        <v>328</v>
      </c>
      <c r="C91" s="58" t="s">
        <v>71</v>
      </c>
      <c r="D91" s="59">
        <v>4</v>
      </c>
      <c r="E91" s="60" t="s">
        <v>326</v>
      </c>
      <c r="F91" s="61" t="s">
        <v>68</v>
      </c>
      <c r="G91" s="61" t="s">
        <v>72</v>
      </c>
      <c r="H91" s="62" t="s">
        <v>66</v>
      </c>
      <c r="I91" s="63" t="s">
        <v>370</v>
      </c>
      <c r="J91" s="26"/>
      <c r="K91" s="50"/>
      <c r="L91" s="50"/>
      <c r="M91" s="27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89" t="s">
        <v>70</v>
      </c>
    </row>
    <row r="92" spans="1:40" s="64" customFormat="1" ht="26.4">
      <c r="A92" s="73" t="s">
        <v>63</v>
      </c>
      <c r="B92" s="58" t="s">
        <v>328</v>
      </c>
      <c r="C92" s="58" t="s">
        <v>73</v>
      </c>
      <c r="D92" s="59">
        <v>4</v>
      </c>
      <c r="E92" s="60" t="s">
        <v>326</v>
      </c>
      <c r="F92" s="61" t="s">
        <v>68</v>
      </c>
      <c r="G92" s="61" t="s">
        <v>74</v>
      </c>
      <c r="H92" s="62" t="s">
        <v>66</v>
      </c>
      <c r="I92" s="63" t="s">
        <v>370</v>
      </c>
      <c r="J92" s="26"/>
      <c r="K92" s="50"/>
      <c r="L92" s="50"/>
      <c r="M92" s="27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89" t="s">
        <v>70</v>
      </c>
    </row>
    <row r="93" spans="1:40" s="64" customFormat="1" ht="39.6">
      <c r="A93" s="73" t="s">
        <v>63</v>
      </c>
      <c r="B93" s="58" t="s">
        <v>328</v>
      </c>
      <c r="C93" s="58" t="s">
        <v>75</v>
      </c>
      <c r="D93" s="59">
        <v>6</v>
      </c>
      <c r="E93" s="60" t="s">
        <v>326</v>
      </c>
      <c r="F93" s="61" t="s">
        <v>65</v>
      </c>
      <c r="G93" s="61" t="s">
        <v>76</v>
      </c>
      <c r="H93" s="62" t="s">
        <v>66</v>
      </c>
      <c r="I93" s="63" t="s">
        <v>370</v>
      </c>
      <c r="J93" s="26"/>
      <c r="K93" s="50"/>
      <c r="L93" s="50"/>
      <c r="M93" s="27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89" t="s">
        <v>70</v>
      </c>
    </row>
    <row r="94" spans="1:40" s="64" customFormat="1" ht="39.6">
      <c r="A94" s="73" t="s">
        <v>63</v>
      </c>
      <c r="B94" s="58" t="s">
        <v>328</v>
      </c>
      <c r="C94" s="58" t="s">
        <v>104</v>
      </c>
      <c r="D94" s="59">
        <v>1</v>
      </c>
      <c r="E94" s="60" t="s">
        <v>326</v>
      </c>
      <c r="F94" s="61" t="s">
        <v>65</v>
      </c>
      <c r="G94" s="61">
        <v>2008</v>
      </c>
      <c r="H94" s="62" t="s">
        <v>66</v>
      </c>
      <c r="I94" s="63" t="s">
        <v>370</v>
      </c>
      <c r="J94" s="26"/>
      <c r="K94" s="50"/>
      <c r="L94" s="50"/>
      <c r="M94" s="27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89" t="s">
        <v>500</v>
      </c>
    </row>
    <row r="95" spans="1:40" s="64" customFormat="1" ht="39.6">
      <c r="A95" s="73" t="s">
        <v>63</v>
      </c>
      <c r="B95" s="58" t="s">
        <v>328</v>
      </c>
      <c r="C95" s="58" t="s">
        <v>77</v>
      </c>
      <c r="D95" s="59">
        <v>20</v>
      </c>
      <c r="E95" s="60" t="s">
        <v>326</v>
      </c>
      <c r="F95" s="61" t="s">
        <v>65</v>
      </c>
      <c r="G95" s="61" t="s">
        <v>78</v>
      </c>
      <c r="H95" s="62" t="s">
        <v>66</v>
      </c>
      <c r="I95" s="63" t="s">
        <v>370</v>
      </c>
      <c r="J95" s="26"/>
      <c r="K95" s="50"/>
      <c r="L95" s="50"/>
      <c r="M95" s="27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89" t="s">
        <v>70</v>
      </c>
    </row>
    <row r="96" spans="1:40" s="64" customFormat="1" ht="39.6">
      <c r="A96" s="73" t="s">
        <v>63</v>
      </c>
      <c r="B96" s="58" t="s">
        <v>328</v>
      </c>
      <c r="C96" s="58" t="s">
        <v>79</v>
      </c>
      <c r="D96" s="59">
        <v>3</v>
      </c>
      <c r="E96" s="60" t="s">
        <v>326</v>
      </c>
      <c r="F96" s="61" t="s">
        <v>65</v>
      </c>
      <c r="G96" s="61" t="s">
        <v>80</v>
      </c>
      <c r="H96" s="62" t="s">
        <v>66</v>
      </c>
      <c r="I96" s="63" t="s">
        <v>370</v>
      </c>
      <c r="J96" s="26"/>
      <c r="K96" s="50"/>
      <c r="L96" s="50"/>
      <c r="M96" s="27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89" t="s">
        <v>501</v>
      </c>
    </row>
    <row r="97" spans="1:40" s="64" customFormat="1" ht="39.6">
      <c r="A97" s="73" t="s">
        <v>63</v>
      </c>
      <c r="B97" s="58" t="s">
        <v>328</v>
      </c>
      <c r="C97" s="58" t="s">
        <v>81</v>
      </c>
      <c r="D97" s="59">
        <v>4</v>
      </c>
      <c r="E97" s="60" t="s">
        <v>326</v>
      </c>
      <c r="F97" s="61" t="s">
        <v>68</v>
      </c>
      <c r="G97" s="61" t="s">
        <v>80</v>
      </c>
      <c r="H97" s="62" t="s">
        <v>66</v>
      </c>
      <c r="I97" s="63" t="s">
        <v>370</v>
      </c>
      <c r="J97" s="26"/>
      <c r="K97" s="50"/>
      <c r="L97" s="50"/>
      <c r="M97" s="27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89" t="s">
        <v>70</v>
      </c>
    </row>
    <row r="98" spans="1:40" s="64" customFormat="1" ht="39.6">
      <c r="A98" s="73" t="s">
        <v>63</v>
      </c>
      <c r="B98" s="58" t="s">
        <v>328</v>
      </c>
      <c r="C98" s="58" t="s">
        <v>82</v>
      </c>
      <c r="D98" s="59">
        <v>10</v>
      </c>
      <c r="E98" s="60" t="s">
        <v>326</v>
      </c>
      <c r="F98" s="61" t="s">
        <v>68</v>
      </c>
      <c r="G98" s="61" t="s">
        <v>78</v>
      </c>
      <c r="H98" s="62" t="s">
        <v>66</v>
      </c>
      <c r="I98" s="63" t="s">
        <v>370</v>
      </c>
      <c r="J98" s="26"/>
      <c r="K98" s="50"/>
      <c r="L98" s="50"/>
      <c r="M98" s="27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89" t="s">
        <v>70</v>
      </c>
    </row>
    <row r="99" spans="1:40" s="64" customFormat="1" ht="39.6">
      <c r="A99" s="73" t="s">
        <v>63</v>
      </c>
      <c r="B99" s="58" t="s">
        <v>328</v>
      </c>
      <c r="C99" s="58" t="s">
        <v>83</v>
      </c>
      <c r="D99" s="59">
        <v>4</v>
      </c>
      <c r="E99" s="60" t="s">
        <v>326</v>
      </c>
      <c r="F99" s="61" t="s">
        <v>68</v>
      </c>
      <c r="G99" s="61" t="s">
        <v>80</v>
      </c>
      <c r="H99" s="62" t="s">
        <v>66</v>
      </c>
      <c r="I99" s="63" t="s">
        <v>370</v>
      </c>
      <c r="J99" s="26"/>
      <c r="K99" s="50"/>
      <c r="L99" s="50"/>
      <c r="M99" s="27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89" t="s">
        <v>70</v>
      </c>
    </row>
    <row r="100" spans="1:40" s="64" customFormat="1" ht="40.200000000000003" thickBot="1">
      <c r="A100" s="29" t="s">
        <v>63</v>
      </c>
      <c r="B100" s="55" t="s">
        <v>328</v>
      </c>
      <c r="C100" s="55" t="s">
        <v>84</v>
      </c>
      <c r="D100" s="31">
        <v>3</v>
      </c>
      <c r="E100" s="32" t="s">
        <v>326</v>
      </c>
      <c r="F100" s="94" t="s">
        <v>68</v>
      </c>
      <c r="G100" s="94" t="s">
        <v>80</v>
      </c>
      <c r="H100" s="34" t="s">
        <v>66</v>
      </c>
      <c r="I100" s="35" t="s">
        <v>370</v>
      </c>
      <c r="J100" s="36"/>
      <c r="K100" s="36"/>
      <c r="L100" s="36"/>
      <c r="M100" s="37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71" t="s">
        <v>70</v>
      </c>
    </row>
    <row r="101" spans="1:40" s="64" customFormat="1">
      <c r="A101" s="73"/>
      <c r="B101" s="58"/>
      <c r="C101" s="58"/>
      <c r="D101" s="59"/>
      <c r="E101" s="60"/>
      <c r="F101" s="61"/>
      <c r="G101" s="61"/>
      <c r="H101" s="62"/>
      <c r="I101" s="63"/>
      <c r="J101" s="26"/>
      <c r="K101" s="50"/>
      <c r="L101" s="50"/>
      <c r="M101" s="27"/>
      <c r="N101" s="72"/>
      <c r="O101" s="72"/>
      <c r="P101" s="72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28"/>
    </row>
    <row r="102" spans="1:40" s="64" customFormat="1" ht="26.4">
      <c r="A102" s="73" t="s">
        <v>85</v>
      </c>
      <c r="B102" s="58"/>
      <c r="C102" s="58" t="s">
        <v>437</v>
      </c>
      <c r="D102" s="59">
        <v>1</v>
      </c>
      <c r="E102" s="60"/>
      <c r="F102" s="61"/>
      <c r="G102" s="61"/>
      <c r="H102" s="62"/>
      <c r="I102" s="63"/>
      <c r="J102" s="26">
        <v>666666</v>
      </c>
      <c r="K102" s="50">
        <f>J102-L102</f>
        <v>333333</v>
      </c>
      <c r="L102" s="50">
        <f>SUM(N102:AM102)</f>
        <v>333333</v>
      </c>
      <c r="M102" s="27">
        <v>2013</v>
      </c>
      <c r="N102" s="72"/>
      <c r="O102" s="72"/>
      <c r="P102" s="72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>
        <f>0.5*J102</f>
        <v>333333</v>
      </c>
      <c r="AK102" s="47"/>
      <c r="AL102" s="47"/>
      <c r="AM102" s="47"/>
      <c r="AN102" s="28" t="s">
        <v>502</v>
      </c>
    </row>
    <row r="103" spans="1:40" s="64" customFormat="1" ht="26.4">
      <c r="A103" s="57" t="s">
        <v>85</v>
      </c>
      <c r="B103" s="58" t="s">
        <v>328</v>
      </c>
      <c r="C103" s="58" t="s">
        <v>86</v>
      </c>
      <c r="D103" s="59">
        <v>4</v>
      </c>
      <c r="E103" s="60" t="s">
        <v>326</v>
      </c>
      <c r="F103" s="61" t="s">
        <v>68</v>
      </c>
      <c r="G103" s="61" t="s">
        <v>66</v>
      </c>
      <c r="H103" s="62" t="s">
        <v>66</v>
      </c>
      <c r="I103" s="63" t="s">
        <v>370</v>
      </c>
      <c r="J103" s="26"/>
      <c r="K103" s="50"/>
      <c r="L103" s="50"/>
      <c r="M103" s="27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89" t="s">
        <v>70</v>
      </c>
    </row>
    <row r="104" spans="1:40" s="64" customFormat="1" ht="26.4">
      <c r="A104" s="57" t="s">
        <v>85</v>
      </c>
      <c r="B104" s="58" t="s">
        <v>328</v>
      </c>
      <c r="C104" s="58" t="s">
        <v>87</v>
      </c>
      <c r="D104" s="59">
        <v>3</v>
      </c>
      <c r="E104" s="60" t="s">
        <v>326</v>
      </c>
      <c r="F104" s="61">
        <v>2030</v>
      </c>
      <c r="G104" s="61" t="s">
        <v>88</v>
      </c>
      <c r="H104" s="62" t="s">
        <v>66</v>
      </c>
      <c r="I104" s="63" t="s">
        <v>370</v>
      </c>
      <c r="J104" s="26"/>
      <c r="K104" s="50"/>
      <c r="L104" s="50"/>
      <c r="M104" s="27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89" t="s">
        <v>89</v>
      </c>
    </row>
    <row r="105" spans="1:40" s="64" customFormat="1" ht="26.4">
      <c r="A105" s="57" t="s">
        <v>85</v>
      </c>
      <c r="B105" s="58" t="s">
        <v>328</v>
      </c>
      <c r="C105" s="58" t="s">
        <v>90</v>
      </c>
      <c r="D105" s="59">
        <v>1</v>
      </c>
      <c r="E105" s="60" t="s">
        <v>326</v>
      </c>
      <c r="F105" s="61" t="s">
        <v>68</v>
      </c>
      <c r="G105" s="61" t="s">
        <v>74</v>
      </c>
      <c r="H105" s="62" t="s">
        <v>66</v>
      </c>
      <c r="I105" s="63" t="s">
        <v>370</v>
      </c>
      <c r="J105" s="26"/>
      <c r="K105" s="50"/>
      <c r="L105" s="50"/>
      <c r="M105" s="27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89" t="s">
        <v>70</v>
      </c>
    </row>
    <row r="106" spans="1:40" s="64" customFormat="1" ht="26.4">
      <c r="A106" s="57" t="s">
        <v>85</v>
      </c>
      <c r="B106" s="58" t="s">
        <v>328</v>
      </c>
      <c r="C106" s="58" t="s">
        <v>91</v>
      </c>
      <c r="D106" s="59">
        <v>1</v>
      </c>
      <c r="E106" s="60" t="s">
        <v>326</v>
      </c>
      <c r="F106" s="61" t="s">
        <v>65</v>
      </c>
      <c r="G106" s="61" t="s">
        <v>92</v>
      </c>
      <c r="H106" s="62" t="s">
        <v>66</v>
      </c>
      <c r="I106" s="63" t="s">
        <v>370</v>
      </c>
      <c r="J106" s="26"/>
      <c r="K106" s="50"/>
      <c r="L106" s="50"/>
      <c r="M106" s="27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89" t="s">
        <v>89</v>
      </c>
    </row>
    <row r="107" spans="1:40" s="64" customFormat="1" ht="26.4">
      <c r="A107" s="57" t="s">
        <v>85</v>
      </c>
      <c r="B107" s="58" t="s">
        <v>328</v>
      </c>
      <c r="C107" s="58" t="s">
        <v>93</v>
      </c>
      <c r="D107" s="59">
        <v>3</v>
      </c>
      <c r="E107" s="60" t="s">
        <v>326</v>
      </c>
      <c r="F107" s="61" t="s">
        <v>65</v>
      </c>
      <c r="G107" s="61" t="s">
        <v>94</v>
      </c>
      <c r="H107" s="62" t="s">
        <v>66</v>
      </c>
      <c r="I107" s="63" t="s">
        <v>370</v>
      </c>
      <c r="J107" s="26"/>
      <c r="K107" s="50"/>
      <c r="L107" s="50"/>
      <c r="M107" s="27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89" t="s">
        <v>89</v>
      </c>
    </row>
    <row r="108" spans="1:40" s="64" customFormat="1" ht="52.8">
      <c r="A108" s="57" t="s">
        <v>85</v>
      </c>
      <c r="B108" s="58"/>
      <c r="C108" s="58" t="s">
        <v>385</v>
      </c>
      <c r="D108" s="59"/>
      <c r="E108" s="60"/>
      <c r="F108" s="61"/>
      <c r="G108" s="61"/>
      <c r="H108" s="62"/>
      <c r="I108" s="63"/>
      <c r="J108" s="26"/>
      <c r="K108" s="50"/>
      <c r="L108" s="50"/>
      <c r="M108" s="27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89"/>
    </row>
    <row r="109" spans="1:40" s="64" customFormat="1" ht="26.4">
      <c r="A109" s="57" t="s">
        <v>85</v>
      </c>
      <c r="B109" s="58" t="s">
        <v>328</v>
      </c>
      <c r="C109" s="58" t="s">
        <v>95</v>
      </c>
      <c r="D109" s="59">
        <v>2</v>
      </c>
      <c r="E109" s="60" t="s">
        <v>326</v>
      </c>
      <c r="F109" s="61" t="s">
        <v>96</v>
      </c>
      <c r="G109" s="61" t="s">
        <v>97</v>
      </c>
      <c r="H109" s="62" t="s">
        <v>66</v>
      </c>
      <c r="I109" s="63" t="s">
        <v>370</v>
      </c>
      <c r="J109" s="26"/>
      <c r="K109" s="50"/>
      <c r="L109" s="50"/>
      <c r="M109" s="27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>
        <f>(0.33*J109)*AJ$7/AJ$6</f>
        <v>0</v>
      </c>
      <c r="AK109" s="72"/>
      <c r="AL109" s="72"/>
      <c r="AM109" s="72"/>
      <c r="AN109" s="89" t="s">
        <v>495</v>
      </c>
    </row>
    <row r="110" spans="1:40" s="64" customFormat="1" ht="26.4">
      <c r="A110" s="57" t="s">
        <v>85</v>
      </c>
      <c r="B110" s="58" t="s">
        <v>328</v>
      </c>
      <c r="C110" s="58" t="s">
        <v>98</v>
      </c>
      <c r="D110" s="59">
        <v>4</v>
      </c>
      <c r="E110" s="60" t="s">
        <v>326</v>
      </c>
      <c r="F110" s="61" t="s">
        <v>65</v>
      </c>
      <c r="G110" s="61" t="s">
        <v>99</v>
      </c>
      <c r="H110" s="62" t="s">
        <v>66</v>
      </c>
      <c r="I110" s="63" t="s">
        <v>370</v>
      </c>
      <c r="J110" s="26"/>
      <c r="K110" s="26"/>
      <c r="L110" s="26"/>
      <c r="M110" s="27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89" t="s">
        <v>70</v>
      </c>
    </row>
    <row r="111" spans="1:40" s="64" customFormat="1" ht="27" thickBot="1">
      <c r="A111" s="65" t="s">
        <v>85</v>
      </c>
      <c r="B111" s="30" t="s">
        <v>328</v>
      </c>
      <c r="C111" s="30" t="s">
        <v>100</v>
      </c>
      <c r="D111" s="66">
        <v>4</v>
      </c>
      <c r="E111" s="67" t="s">
        <v>326</v>
      </c>
      <c r="F111" s="68" t="s">
        <v>65</v>
      </c>
      <c r="G111" s="68" t="s">
        <v>94</v>
      </c>
      <c r="H111" s="69" t="s">
        <v>66</v>
      </c>
      <c r="I111" s="70" t="s">
        <v>370</v>
      </c>
      <c r="J111" s="36"/>
      <c r="K111" s="36"/>
      <c r="L111" s="36"/>
      <c r="M111" s="37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71" t="s">
        <v>70</v>
      </c>
    </row>
    <row r="112" spans="1:40" s="64" customFormat="1">
      <c r="A112" s="95"/>
      <c r="B112" s="96"/>
      <c r="C112" s="96"/>
      <c r="D112" s="97"/>
      <c r="E112" s="98"/>
      <c r="F112" s="99"/>
      <c r="G112" s="99"/>
      <c r="H112" s="100"/>
      <c r="I112" s="101"/>
      <c r="J112" s="51"/>
      <c r="K112" s="51"/>
      <c r="L112" s="51"/>
      <c r="M112" s="102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103"/>
    </row>
    <row r="113" spans="1:40" s="238" customFormat="1" ht="26.4">
      <c r="A113" s="57" t="s">
        <v>101</v>
      </c>
      <c r="B113" s="58" t="s">
        <v>328</v>
      </c>
      <c r="C113" s="58" t="s">
        <v>433</v>
      </c>
      <c r="D113" s="239" t="s">
        <v>432</v>
      </c>
      <c r="E113" s="60"/>
      <c r="F113" s="61"/>
      <c r="G113" s="61"/>
      <c r="H113" s="62"/>
      <c r="I113" s="63"/>
      <c r="J113" s="50">
        <v>666666</v>
      </c>
      <c r="K113" s="50">
        <f>J113-L113</f>
        <v>333333</v>
      </c>
      <c r="L113" s="50">
        <f>SUM(N113:AM113)</f>
        <v>333333</v>
      </c>
      <c r="M113" s="52">
        <v>2013</v>
      </c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>
        <f>0.5*J113</f>
        <v>333333</v>
      </c>
      <c r="AK113" s="72"/>
      <c r="AL113" s="72"/>
      <c r="AM113" s="72"/>
      <c r="AN113" s="89" t="s">
        <v>496</v>
      </c>
    </row>
    <row r="114" spans="1:40" s="213" customFormat="1" ht="27" thickBot="1">
      <c r="A114" s="65" t="s">
        <v>101</v>
      </c>
      <c r="B114" s="30" t="s">
        <v>328</v>
      </c>
      <c r="C114" s="30" t="s">
        <v>433</v>
      </c>
      <c r="D114" s="275" t="s">
        <v>434</v>
      </c>
      <c r="E114" s="67"/>
      <c r="F114" s="68"/>
      <c r="G114" s="68"/>
      <c r="H114" s="69"/>
      <c r="I114" s="70"/>
      <c r="J114" s="36">
        <v>2000000</v>
      </c>
      <c r="K114" s="36">
        <f>J114-L114</f>
        <v>1000000</v>
      </c>
      <c r="L114" s="36">
        <f>SUM(N114:AM114)</f>
        <v>1000000</v>
      </c>
      <c r="M114" s="37">
        <v>2014</v>
      </c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>
        <f>0.5*J114</f>
        <v>1000000</v>
      </c>
      <c r="AK114" s="38"/>
      <c r="AL114" s="38"/>
      <c r="AM114" s="38"/>
      <c r="AN114" s="71" t="s">
        <v>496</v>
      </c>
    </row>
    <row r="115" spans="1:40" s="64" customFormat="1">
      <c r="A115" s="73"/>
      <c r="B115" s="74"/>
      <c r="C115" s="74"/>
      <c r="D115" s="75"/>
      <c r="E115" s="76"/>
      <c r="F115" s="77"/>
      <c r="G115" s="77"/>
      <c r="H115" s="78"/>
      <c r="I115" s="79"/>
      <c r="J115" s="26"/>
      <c r="K115" s="26"/>
      <c r="L115" s="26"/>
      <c r="M115" s="2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28"/>
    </row>
    <row r="116" spans="1:40" s="64" customFormat="1" ht="27" thickBot="1">
      <c r="A116" s="65" t="s">
        <v>408</v>
      </c>
      <c r="B116" s="30" t="s">
        <v>28</v>
      </c>
      <c r="C116" s="30" t="s">
        <v>131</v>
      </c>
      <c r="D116" s="66">
        <v>3</v>
      </c>
      <c r="E116" s="67"/>
      <c r="F116" s="68"/>
      <c r="G116" s="68"/>
      <c r="H116" s="69"/>
      <c r="I116" s="70"/>
      <c r="J116" s="36">
        <v>250000</v>
      </c>
      <c r="K116" s="36">
        <f>J116-L116</f>
        <v>162500</v>
      </c>
      <c r="L116" s="36">
        <f>SUM(N116:AM116)</f>
        <v>87500</v>
      </c>
      <c r="M116" s="37">
        <v>2011</v>
      </c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>
        <f>(0.12*J116)*AK$7/AK$6</f>
        <v>87500</v>
      </c>
      <c r="AL116" s="38"/>
      <c r="AM116" s="38"/>
      <c r="AN116" s="71" t="s">
        <v>497</v>
      </c>
    </row>
    <row r="117" spans="1:40" s="64" customFormat="1">
      <c r="A117" s="176"/>
      <c r="B117" s="177"/>
      <c r="C117" s="177"/>
      <c r="D117" s="178"/>
      <c r="E117" s="179"/>
      <c r="F117" s="180"/>
      <c r="G117" s="180"/>
      <c r="H117" s="181"/>
      <c r="I117" s="182"/>
      <c r="J117" s="90"/>
      <c r="K117" s="90"/>
      <c r="L117" s="90"/>
      <c r="M117" s="91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112"/>
    </row>
    <row r="118" spans="1:40" s="64" customFormat="1" ht="26.4">
      <c r="A118" s="57" t="s">
        <v>102</v>
      </c>
      <c r="B118" s="58" t="s">
        <v>328</v>
      </c>
      <c r="C118" s="58" t="s">
        <v>11</v>
      </c>
      <c r="D118" s="59" t="s">
        <v>5</v>
      </c>
      <c r="E118" s="60" t="s">
        <v>103</v>
      </c>
      <c r="F118" s="61">
        <v>2030</v>
      </c>
      <c r="G118" s="61"/>
      <c r="H118" s="62"/>
      <c r="I118" s="63" t="s">
        <v>329</v>
      </c>
      <c r="J118" s="50">
        <v>3666666</v>
      </c>
      <c r="K118" s="50">
        <f>J118-L118</f>
        <v>1979999.64</v>
      </c>
      <c r="L118" s="50">
        <f>SUM(N118:AM118)</f>
        <v>1686666.36</v>
      </c>
      <c r="M118" s="52">
        <v>2008</v>
      </c>
      <c r="N118" s="72"/>
      <c r="O118" s="72"/>
      <c r="P118" s="72"/>
      <c r="Q118" s="72">
        <f>(0.24*J118)*Q$7/Q$6</f>
        <v>1686666.36</v>
      </c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89" t="s">
        <v>478</v>
      </c>
    </row>
    <row r="119" spans="1:40" s="64" customFormat="1" ht="26.4">
      <c r="A119" s="57" t="s">
        <v>102</v>
      </c>
      <c r="B119" s="74"/>
      <c r="C119" s="58" t="s">
        <v>11</v>
      </c>
      <c r="D119" s="59" t="s">
        <v>5</v>
      </c>
      <c r="E119" s="76"/>
      <c r="F119" s="77"/>
      <c r="G119" s="77"/>
      <c r="H119" s="78"/>
      <c r="I119" s="79"/>
      <c r="J119" s="26">
        <v>3500000</v>
      </c>
      <c r="K119" s="50">
        <f>J119-L119</f>
        <v>1890000</v>
      </c>
      <c r="L119" s="50">
        <f>SUM(N119:AM119)</f>
        <v>1610000</v>
      </c>
      <c r="M119" s="27">
        <v>2009</v>
      </c>
      <c r="N119" s="47"/>
      <c r="O119" s="47"/>
      <c r="P119" s="47"/>
      <c r="Q119" s="72">
        <f>(0.24*J119)*Q$7/Q$6</f>
        <v>1610000</v>
      </c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89" t="s">
        <v>478</v>
      </c>
    </row>
    <row r="120" spans="1:40" s="64" customFormat="1" ht="27" thickBot="1">
      <c r="A120" s="176" t="s">
        <v>102</v>
      </c>
      <c r="B120" s="177"/>
      <c r="C120" s="177" t="s">
        <v>11</v>
      </c>
      <c r="D120" s="178" t="s">
        <v>5</v>
      </c>
      <c r="E120" s="179"/>
      <c r="F120" s="180"/>
      <c r="G120" s="180"/>
      <c r="H120" s="181"/>
      <c r="I120" s="182"/>
      <c r="J120" s="50">
        <v>3500000</v>
      </c>
      <c r="K120" s="90">
        <f>J120-L120</f>
        <v>1890000</v>
      </c>
      <c r="L120" s="90">
        <f>SUM(N120:AM120)</f>
        <v>1610000</v>
      </c>
      <c r="M120" s="102">
        <v>2010</v>
      </c>
      <c r="N120" s="92"/>
      <c r="O120" s="92"/>
      <c r="P120" s="92"/>
      <c r="Q120" s="92">
        <f>(0.24*J120)*Q$7/Q$6</f>
        <v>1610000</v>
      </c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53"/>
      <c r="AK120" s="92"/>
      <c r="AL120" s="92"/>
      <c r="AM120" s="92"/>
      <c r="AN120" s="112" t="s">
        <v>478</v>
      </c>
    </row>
    <row r="121" spans="1:40" s="64" customFormat="1">
      <c r="A121" s="183"/>
      <c r="B121" s="184"/>
      <c r="C121" s="184"/>
      <c r="D121" s="185"/>
      <c r="E121" s="186"/>
      <c r="F121" s="187"/>
      <c r="G121" s="187"/>
      <c r="H121" s="188"/>
      <c r="I121" s="189"/>
      <c r="J121" s="190"/>
      <c r="K121" s="190"/>
      <c r="L121" s="190"/>
      <c r="M121" s="191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3"/>
    </row>
    <row r="122" spans="1:40" customFormat="1" ht="39.6">
      <c r="A122" s="73" t="s">
        <v>105</v>
      </c>
      <c r="B122" s="74" t="s">
        <v>328</v>
      </c>
      <c r="C122" s="41" t="s">
        <v>106</v>
      </c>
      <c r="D122" s="41">
        <v>7</v>
      </c>
      <c r="E122" s="76" t="s">
        <v>326</v>
      </c>
      <c r="F122" s="77"/>
      <c r="G122" s="77"/>
      <c r="H122" s="78"/>
      <c r="I122" s="79" t="s">
        <v>370</v>
      </c>
      <c r="J122" s="26"/>
      <c r="K122" s="26"/>
      <c r="L122" s="26"/>
      <c r="M122" s="2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28" t="s">
        <v>21</v>
      </c>
    </row>
    <row r="123" spans="1:40" s="64" customFormat="1" ht="52.8">
      <c r="A123" s="57" t="s">
        <v>105</v>
      </c>
      <c r="B123" s="58" t="s">
        <v>328</v>
      </c>
      <c r="C123" s="162" t="s">
        <v>356</v>
      </c>
      <c r="D123" s="104"/>
      <c r="E123" s="60"/>
      <c r="F123" s="61"/>
      <c r="G123" s="61"/>
      <c r="H123" s="62"/>
      <c r="I123" s="63"/>
      <c r="J123" s="50">
        <v>8000000</v>
      </c>
      <c r="K123" s="50">
        <f>0.89*J123</f>
        <v>7120000</v>
      </c>
      <c r="L123" s="50">
        <f>0.11*J123</f>
        <v>880000</v>
      </c>
      <c r="M123" s="52">
        <v>2007</v>
      </c>
      <c r="N123" s="72"/>
      <c r="O123" s="72"/>
      <c r="P123" s="72"/>
      <c r="Q123" s="72"/>
      <c r="R123" s="72"/>
      <c r="S123" s="72"/>
      <c r="T123" s="72"/>
      <c r="U123" s="72"/>
      <c r="V123" s="72"/>
      <c r="W123" s="72">
        <f>0.11*J123</f>
        <v>880000</v>
      </c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54" t="s">
        <v>482</v>
      </c>
    </row>
    <row r="124" spans="1:40" s="64" customFormat="1" ht="52.8">
      <c r="A124" s="57" t="s">
        <v>105</v>
      </c>
      <c r="B124" s="58" t="s">
        <v>328</v>
      </c>
      <c r="C124" s="162" t="s">
        <v>356</v>
      </c>
      <c r="D124" s="104"/>
      <c r="E124" s="60"/>
      <c r="F124" s="61"/>
      <c r="G124" s="61"/>
      <c r="H124" s="62"/>
      <c r="I124" s="63"/>
      <c r="J124" s="50">
        <v>1333333</v>
      </c>
      <c r="K124" s="50">
        <f t="shared" ref="K124:K129" si="3">J124-L124</f>
        <v>1066666.3999999999</v>
      </c>
      <c r="L124" s="50">
        <f t="shared" ref="L124:L129" si="4">SUM(N124:AM124)</f>
        <v>266666.60000000003</v>
      </c>
      <c r="M124" s="52">
        <v>2011</v>
      </c>
      <c r="N124" s="72"/>
      <c r="O124" s="72"/>
      <c r="P124" s="72"/>
      <c r="Q124" s="72"/>
      <c r="R124" s="72"/>
      <c r="S124" s="72"/>
      <c r="T124" s="72"/>
      <c r="U124" s="72"/>
      <c r="V124" s="72"/>
      <c r="W124" s="72">
        <f t="shared" ref="W124:W129" si="5">0.2*J124</f>
        <v>266666.60000000003</v>
      </c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54" t="s">
        <v>483</v>
      </c>
    </row>
    <row r="125" spans="1:40" s="64" customFormat="1" ht="52.8">
      <c r="A125" s="57" t="s">
        <v>105</v>
      </c>
      <c r="B125" s="58" t="s">
        <v>328</v>
      </c>
      <c r="C125" s="162" t="s">
        <v>356</v>
      </c>
      <c r="D125" s="104"/>
      <c r="E125" s="60"/>
      <c r="F125" s="61"/>
      <c r="G125" s="61"/>
      <c r="H125" s="62"/>
      <c r="I125" s="63"/>
      <c r="J125" s="50">
        <v>2666667</v>
      </c>
      <c r="K125" s="50">
        <f t="shared" si="3"/>
        <v>2133333.6</v>
      </c>
      <c r="L125" s="50">
        <f t="shared" si="4"/>
        <v>533333.4</v>
      </c>
      <c r="M125" s="52">
        <v>2012</v>
      </c>
      <c r="N125" s="72"/>
      <c r="O125" s="72"/>
      <c r="P125" s="72"/>
      <c r="Q125" s="72"/>
      <c r="R125" s="72"/>
      <c r="S125" s="72"/>
      <c r="T125" s="72"/>
      <c r="U125" s="72"/>
      <c r="V125" s="72"/>
      <c r="W125" s="72">
        <f t="shared" si="5"/>
        <v>533333.4</v>
      </c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54" t="s">
        <v>483</v>
      </c>
    </row>
    <row r="126" spans="1:40" s="64" customFormat="1" ht="52.8">
      <c r="A126" s="57" t="s">
        <v>105</v>
      </c>
      <c r="B126" s="58" t="s">
        <v>328</v>
      </c>
      <c r="C126" s="162" t="s">
        <v>356</v>
      </c>
      <c r="D126" s="104"/>
      <c r="E126" s="60"/>
      <c r="F126" s="61"/>
      <c r="G126" s="61"/>
      <c r="H126" s="62"/>
      <c r="I126" s="63"/>
      <c r="J126" s="50">
        <v>2666667</v>
      </c>
      <c r="K126" s="50">
        <f t="shared" si="3"/>
        <v>2133333.6</v>
      </c>
      <c r="L126" s="50">
        <f t="shared" si="4"/>
        <v>533333.4</v>
      </c>
      <c r="M126" s="52">
        <v>2016</v>
      </c>
      <c r="N126" s="72"/>
      <c r="O126" s="72"/>
      <c r="P126" s="72"/>
      <c r="Q126" s="72"/>
      <c r="R126" s="72"/>
      <c r="S126" s="72"/>
      <c r="T126" s="72"/>
      <c r="U126" s="72"/>
      <c r="V126" s="72"/>
      <c r="W126" s="72">
        <f t="shared" si="5"/>
        <v>533333.4</v>
      </c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93" t="s">
        <v>506</v>
      </c>
    </row>
    <row r="127" spans="1:40" s="64" customFormat="1" ht="52.8">
      <c r="A127" s="57" t="s">
        <v>105</v>
      </c>
      <c r="B127" s="58" t="s">
        <v>328</v>
      </c>
      <c r="C127" s="162" t="s">
        <v>356</v>
      </c>
      <c r="D127" s="104"/>
      <c r="E127" s="60"/>
      <c r="F127" s="61"/>
      <c r="G127" s="61"/>
      <c r="H127" s="62"/>
      <c r="I127" s="63"/>
      <c r="J127" s="50">
        <v>1838477</v>
      </c>
      <c r="K127" s="50">
        <f t="shared" si="3"/>
        <v>1470781.6</v>
      </c>
      <c r="L127" s="50">
        <f t="shared" si="4"/>
        <v>367695.4</v>
      </c>
      <c r="M127" s="52">
        <v>2017</v>
      </c>
      <c r="N127" s="72"/>
      <c r="O127" s="72"/>
      <c r="P127" s="72"/>
      <c r="Q127" s="72"/>
      <c r="R127" s="72"/>
      <c r="S127" s="72"/>
      <c r="T127" s="72"/>
      <c r="U127" s="72"/>
      <c r="V127" s="72"/>
      <c r="W127" s="72">
        <f t="shared" si="5"/>
        <v>367695.4</v>
      </c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93" t="s">
        <v>506</v>
      </c>
    </row>
    <row r="128" spans="1:40" s="64" customFormat="1" ht="52.8">
      <c r="A128" s="57" t="s">
        <v>105</v>
      </c>
      <c r="B128" s="58" t="s">
        <v>328</v>
      </c>
      <c r="C128" s="162" t="s">
        <v>356</v>
      </c>
      <c r="D128" s="104"/>
      <c r="E128" s="60"/>
      <c r="F128" s="61"/>
      <c r="G128" s="61"/>
      <c r="H128" s="62"/>
      <c r="I128" s="63"/>
      <c r="J128" s="50">
        <v>2533333</v>
      </c>
      <c r="K128" s="50">
        <f t="shared" si="3"/>
        <v>2026666.4</v>
      </c>
      <c r="L128" s="50">
        <f t="shared" si="4"/>
        <v>506666.60000000003</v>
      </c>
      <c r="M128" s="52">
        <v>2018</v>
      </c>
      <c r="N128" s="72"/>
      <c r="O128" s="72"/>
      <c r="P128" s="72"/>
      <c r="Q128" s="72"/>
      <c r="R128" s="72"/>
      <c r="S128" s="72"/>
      <c r="T128" s="72"/>
      <c r="U128" s="72"/>
      <c r="V128" s="72"/>
      <c r="W128" s="72">
        <f t="shared" si="5"/>
        <v>506666.60000000003</v>
      </c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93" t="s">
        <v>506</v>
      </c>
    </row>
    <row r="129" spans="1:40" s="64" customFormat="1" ht="52.8">
      <c r="A129" s="57" t="s">
        <v>105</v>
      </c>
      <c r="B129" s="58" t="s">
        <v>328</v>
      </c>
      <c r="C129" s="162" t="s">
        <v>356</v>
      </c>
      <c r="D129" s="104"/>
      <c r="E129" s="60"/>
      <c r="F129" s="61"/>
      <c r="G129" s="61"/>
      <c r="H129" s="62"/>
      <c r="I129" s="63"/>
      <c r="J129" s="50">
        <v>294856</v>
      </c>
      <c r="K129" s="50">
        <f t="shared" si="3"/>
        <v>235884.79999999999</v>
      </c>
      <c r="L129" s="50">
        <f t="shared" si="4"/>
        <v>58971.200000000004</v>
      </c>
      <c r="M129" s="52">
        <v>2019</v>
      </c>
      <c r="N129" s="72"/>
      <c r="O129" s="72"/>
      <c r="P129" s="72"/>
      <c r="Q129" s="72"/>
      <c r="R129" s="72"/>
      <c r="S129" s="72"/>
      <c r="T129" s="72"/>
      <c r="U129" s="72"/>
      <c r="V129" s="72"/>
      <c r="W129" s="72">
        <f t="shared" si="5"/>
        <v>58971.200000000004</v>
      </c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93" t="s">
        <v>506</v>
      </c>
    </row>
    <row r="130" spans="1:40" s="39" customFormat="1" ht="27" thickBot="1">
      <c r="A130" s="154" t="s">
        <v>105</v>
      </c>
      <c r="B130" s="151" t="s">
        <v>328</v>
      </c>
      <c r="C130" s="155" t="s">
        <v>209</v>
      </c>
      <c r="D130" s="156">
        <v>6</v>
      </c>
      <c r="E130" s="157" t="s">
        <v>326</v>
      </c>
      <c r="F130" s="158"/>
      <c r="G130" s="158"/>
      <c r="H130" s="159"/>
      <c r="I130" s="160" t="s">
        <v>329</v>
      </c>
      <c r="J130" s="152"/>
      <c r="K130" s="152"/>
      <c r="L130" s="152"/>
      <c r="M130" s="15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61" t="s">
        <v>210</v>
      </c>
    </row>
    <row r="131" spans="1:40" s="64" customFormat="1">
      <c r="A131" s="95"/>
      <c r="B131" s="96"/>
      <c r="C131" s="105"/>
      <c r="D131" s="49"/>
      <c r="E131" s="98"/>
      <c r="F131" s="99"/>
      <c r="G131" s="99"/>
      <c r="H131" s="100"/>
      <c r="I131" s="101"/>
      <c r="J131" s="51"/>
      <c r="K131" s="51"/>
      <c r="L131" s="51"/>
      <c r="M131" s="102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106"/>
    </row>
    <row r="132" spans="1:40" s="64" customFormat="1" ht="39.6">
      <c r="A132" s="194" t="s">
        <v>107</v>
      </c>
      <c r="B132" s="58" t="s">
        <v>28</v>
      </c>
      <c r="C132" s="104" t="s">
        <v>381</v>
      </c>
      <c r="D132" s="195" t="s">
        <v>6</v>
      </c>
      <c r="E132" s="196" t="s">
        <v>326</v>
      </c>
      <c r="F132" s="197">
        <v>2037</v>
      </c>
      <c r="G132" s="197" t="s">
        <v>382</v>
      </c>
      <c r="H132" s="198"/>
      <c r="I132" s="199" t="s">
        <v>329</v>
      </c>
      <c r="J132" s="50">
        <f>SUM(K132:L132)</f>
        <v>9100000</v>
      </c>
      <c r="K132" s="50">
        <v>9100000</v>
      </c>
      <c r="L132" s="50"/>
      <c r="M132" s="52">
        <v>2008</v>
      </c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54" t="s">
        <v>484</v>
      </c>
    </row>
    <row r="133" spans="1:40" s="64" customFormat="1" ht="39.6">
      <c r="A133" s="194" t="s">
        <v>107</v>
      </c>
      <c r="B133" s="58" t="s">
        <v>28</v>
      </c>
      <c r="C133" s="104" t="s">
        <v>381</v>
      </c>
      <c r="D133" s="195" t="s">
        <v>6</v>
      </c>
      <c r="E133" s="196" t="s">
        <v>326</v>
      </c>
      <c r="F133" s="197">
        <v>2037</v>
      </c>
      <c r="G133" s="197" t="s">
        <v>382</v>
      </c>
      <c r="H133" s="198"/>
      <c r="I133" s="199" t="s">
        <v>329</v>
      </c>
      <c r="J133" s="50">
        <f>SUM(K133:L133)</f>
        <v>12387353.158885684</v>
      </c>
      <c r="K133" s="50"/>
      <c r="L133" s="50">
        <f t="shared" ref="L133:L138" si="6">SUM(N133:AM133)</f>
        <v>12387353.158885684</v>
      </c>
      <c r="M133" s="52">
        <v>2010</v>
      </c>
      <c r="N133" s="72">
        <f>4539619.3590333/4</f>
        <v>1134904.8397583249</v>
      </c>
      <c r="O133" s="72"/>
      <c r="P133" s="72"/>
      <c r="Q133" s="72"/>
      <c r="R133" s="72"/>
      <c r="S133" s="72"/>
      <c r="T133" s="72"/>
      <c r="U133" s="72"/>
      <c r="V133" s="72">
        <f>230312.500502967/4</f>
        <v>57578.125125741753</v>
      </c>
      <c r="W133" s="72"/>
      <c r="X133" s="72"/>
      <c r="Y133" s="72"/>
      <c r="Z133" s="72"/>
      <c r="AA133" s="72"/>
      <c r="AB133" s="72"/>
      <c r="AC133" s="72">
        <f>937108.495949243/4</f>
        <v>234277.12398731074</v>
      </c>
      <c r="AD133" s="72">
        <f>263987.972731235/4</f>
        <v>65996.993182808743</v>
      </c>
      <c r="AE133" s="72"/>
      <c r="AF133" s="72">
        <f>1869066.89820261/4</f>
        <v>467266.72455065249</v>
      </c>
      <c r="AG133" s="72">
        <f>409445.887636383/4</f>
        <v>102361.47190909575</v>
      </c>
      <c r="AH133" s="72"/>
      <c r="AI133" s="72"/>
      <c r="AJ133" s="72"/>
      <c r="AK133" s="72"/>
      <c r="AL133" s="72">
        <f>763931.392505001/4</f>
        <v>190982.84812625026</v>
      </c>
      <c r="AM133" s="72">
        <f>40535940.128982/4</f>
        <v>10133985.0322455</v>
      </c>
      <c r="AN133" s="54" t="s">
        <v>485</v>
      </c>
    </row>
    <row r="134" spans="1:40" s="64" customFormat="1" ht="39.6">
      <c r="A134" s="194" t="s">
        <v>107</v>
      </c>
      <c r="B134" s="58" t="s">
        <v>28</v>
      </c>
      <c r="C134" s="104" t="s">
        <v>381</v>
      </c>
      <c r="D134" s="195" t="s">
        <v>6</v>
      </c>
      <c r="E134" s="200" t="s">
        <v>326</v>
      </c>
      <c r="F134" s="201">
        <v>2037</v>
      </c>
      <c r="G134" s="197" t="s">
        <v>382</v>
      </c>
      <c r="H134" s="202"/>
      <c r="I134" s="203"/>
      <c r="J134" s="50">
        <f>SUM(K134:L134)</f>
        <v>18387353.158885684</v>
      </c>
      <c r="K134" s="90">
        <v>6000000</v>
      </c>
      <c r="L134" s="50">
        <f t="shared" si="6"/>
        <v>12387353.158885684</v>
      </c>
      <c r="M134" s="91">
        <v>2011</v>
      </c>
      <c r="N134" s="72">
        <f>4539619.3590333/4</f>
        <v>1134904.8397583249</v>
      </c>
      <c r="O134" s="92"/>
      <c r="P134" s="92"/>
      <c r="Q134" s="92"/>
      <c r="R134" s="92"/>
      <c r="S134" s="92"/>
      <c r="T134" s="92"/>
      <c r="U134" s="92"/>
      <c r="V134" s="72">
        <f>230312.500502967/4</f>
        <v>57578.125125741753</v>
      </c>
      <c r="W134" s="92"/>
      <c r="X134" s="92"/>
      <c r="Y134" s="92"/>
      <c r="Z134" s="92"/>
      <c r="AA134" s="92"/>
      <c r="AB134" s="92"/>
      <c r="AC134" s="72">
        <f>937108.495949243/4</f>
        <v>234277.12398731074</v>
      </c>
      <c r="AD134" s="72">
        <f>263987.972731235/4</f>
        <v>65996.993182808743</v>
      </c>
      <c r="AE134" s="92"/>
      <c r="AF134" s="72">
        <f>1869066.89820261/4</f>
        <v>467266.72455065249</v>
      </c>
      <c r="AG134" s="72">
        <f>409445.887636383/4</f>
        <v>102361.47190909575</v>
      </c>
      <c r="AH134" s="92"/>
      <c r="AI134" s="92"/>
      <c r="AJ134" s="92"/>
      <c r="AK134" s="92"/>
      <c r="AL134" s="72">
        <f>763931.392505001/4</f>
        <v>190982.84812625026</v>
      </c>
      <c r="AM134" s="72">
        <f>40535940.128982/4</f>
        <v>10133985.0322455</v>
      </c>
      <c r="AN134" s="54" t="s">
        <v>485</v>
      </c>
    </row>
    <row r="135" spans="1:40" s="64" customFormat="1" ht="39.6">
      <c r="A135" s="194" t="s">
        <v>107</v>
      </c>
      <c r="B135" s="58" t="s">
        <v>28</v>
      </c>
      <c r="C135" s="104" t="s">
        <v>381</v>
      </c>
      <c r="D135" s="195" t="s">
        <v>6</v>
      </c>
      <c r="E135" s="200" t="s">
        <v>326</v>
      </c>
      <c r="F135" s="201">
        <v>2037</v>
      </c>
      <c r="G135" s="197" t="s">
        <v>382</v>
      </c>
      <c r="H135" s="202"/>
      <c r="I135" s="203"/>
      <c r="J135" s="50">
        <f>SUM(K135:L135)</f>
        <v>18387353.158885684</v>
      </c>
      <c r="K135" s="90">
        <v>6000000</v>
      </c>
      <c r="L135" s="50">
        <f t="shared" si="6"/>
        <v>12387353.158885684</v>
      </c>
      <c r="M135" s="91">
        <v>2012</v>
      </c>
      <c r="N135" s="72">
        <f>4539619.3590333/4</f>
        <v>1134904.8397583249</v>
      </c>
      <c r="O135" s="92"/>
      <c r="P135" s="92"/>
      <c r="Q135" s="92"/>
      <c r="R135" s="92"/>
      <c r="S135" s="92"/>
      <c r="T135" s="92"/>
      <c r="U135" s="92"/>
      <c r="V135" s="72">
        <f>230312.500502967/4</f>
        <v>57578.125125741753</v>
      </c>
      <c r="W135" s="92"/>
      <c r="X135" s="92"/>
      <c r="Y135" s="92"/>
      <c r="Z135" s="92"/>
      <c r="AA135" s="92"/>
      <c r="AB135" s="92"/>
      <c r="AC135" s="72">
        <f>937108.495949243/4</f>
        <v>234277.12398731074</v>
      </c>
      <c r="AD135" s="72">
        <f>263987.972731235/4</f>
        <v>65996.993182808743</v>
      </c>
      <c r="AE135" s="92"/>
      <c r="AF135" s="72">
        <f>1869066.89820261/4</f>
        <v>467266.72455065249</v>
      </c>
      <c r="AG135" s="72">
        <f>409445.887636383/4</f>
        <v>102361.47190909575</v>
      </c>
      <c r="AH135" s="92"/>
      <c r="AI135" s="92"/>
      <c r="AJ135" s="92"/>
      <c r="AK135" s="92"/>
      <c r="AL135" s="72">
        <f>763931.392505001/4</f>
        <v>190982.84812625026</v>
      </c>
      <c r="AM135" s="72">
        <f>40535940.128982/4</f>
        <v>10133985.0322455</v>
      </c>
      <c r="AN135" s="54" t="s">
        <v>485</v>
      </c>
    </row>
    <row r="136" spans="1:40" s="64" customFormat="1" ht="39.6">
      <c r="A136" s="194" t="s">
        <v>107</v>
      </c>
      <c r="B136" s="58" t="s">
        <v>28</v>
      </c>
      <c r="C136" s="104" t="s">
        <v>381</v>
      </c>
      <c r="D136" s="195" t="s">
        <v>6</v>
      </c>
      <c r="E136" s="196" t="s">
        <v>326</v>
      </c>
      <c r="F136" s="201">
        <v>2037</v>
      </c>
      <c r="G136" s="197" t="s">
        <v>382</v>
      </c>
      <c r="H136" s="198"/>
      <c r="I136" s="199"/>
      <c r="J136" s="50">
        <f>SUM(K136:L136)</f>
        <v>18387353.158885684</v>
      </c>
      <c r="K136" s="50">
        <v>6000000</v>
      </c>
      <c r="L136" s="50">
        <f t="shared" si="6"/>
        <v>12387353.158885684</v>
      </c>
      <c r="M136" s="52">
        <v>2013</v>
      </c>
      <c r="N136" s="72">
        <f>4539619.3590333/4</f>
        <v>1134904.8397583249</v>
      </c>
      <c r="O136" s="72"/>
      <c r="P136" s="72"/>
      <c r="Q136" s="72"/>
      <c r="R136" s="72"/>
      <c r="S136" s="72"/>
      <c r="T136" s="72"/>
      <c r="U136" s="72"/>
      <c r="V136" s="72">
        <f>230312.500502967/4</f>
        <v>57578.125125741753</v>
      </c>
      <c r="W136" s="72"/>
      <c r="X136" s="72"/>
      <c r="Y136" s="72"/>
      <c r="Z136" s="72"/>
      <c r="AA136" s="72"/>
      <c r="AB136" s="72"/>
      <c r="AC136" s="72">
        <f>937108.495949243/4</f>
        <v>234277.12398731074</v>
      </c>
      <c r="AD136" s="72">
        <f>263987.972731235/4</f>
        <v>65996.993182808743</v>
      </c>
      <c r="AE136" s="72"/>
      <c r="AF136" s="72">
        <f>1869066.89820261/4</f>
        <v>467266.72455065249</v>
      </c>
      <c r="AG136" s="72">
        <f>409445.887636383/4</f>
        <v>102361.47190909575</v>
      </c>
      <c r="AH136" s="72"/>
      <c r="AI136" s="72"/>
      <c r="AJ136" s="72"/>
      <c r="AK136" s="72"/>
      <c r="AL136" s="72">
        <f>763931.392505001/4</f>
        <v>190982.84812625026</v>
      </c>
      <c r="AM136" s="72">
        <f>40535940.128982/4</f>
        <v>10133985.0322455</v>
      </c>
      <c r="AN136" s="54" t="s">
        <v>485</v>
      </c>
    </row>
    <row r="137" spans="1:40" s="64" customFormat="1" ht="26.4">
      <c r="A137" s="194" t="s">
        <v>107</v>
      </c>
      <c r="B137" s="58" t="s">
        <v>28</v>
      </c>
      <c r="C137" s="268" t="s">
        <v>513</v>
      </c>
      <c r="D137" s="253" t="s">
        <v>512</v>
      </c>
      <c r="E137" s="196" t="s">
        <v>326</v>
      </c>
      <c r="F137" s="197">
        <v>2042</v>
      </c>
      <c r="G137" s="197" t="s">
        <v>424</v>
      </c>
      <c r="H137" s="198"/>
      <c r="I137" s="199"/>
      <c r="J137" s="50">
        <f>3800000/2</f>
        <v>1900000</v>
      </c>
      <c r="K137" s="50">
        <f>J137-L137</f>
        <v>851105</v>
      </c>
      <c r="L137" s="50">
        <f t="shared" ref="L137" si="7">SUM(N137:AM137)</f>
        <v>1048895</v>
      </c>
      <c r="M137" s="52">
        <v>2019</v>
      </c>
      <c r="N137" s="72">
        <f>0.189*J137</f>
        <v>359100</v>
      </c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>
        <f>0.36305*J137</f>
        <v>689795</v>
      </c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93" t="s">
        <v>515</v>
      </c>
    </row>
    <row r="138" spans="1:40" s="64" customFormat="1" ht="27" thickBot="1">
      <c r="A138" s="269" t="s">
        <v>107</v>
      </c>
      <c r="B138" s="151" t="s">
        <v>28</v>
      </c>
      <c r="C138" s="240" t="s">
        <v>513</v>
      </c>
      <c r="D138" s="270" t="s">
        <v>512</v>
      </c>
      <c r="E138" s="271" t="s">
        <v>326</v>
      </c>
      <c r="F138" s="272">
        <v>2042</v>
      </c>
      <c r="G138" s="272" t="s">
        <v>424</v>
      </c>
      <c r="H138" s="273"/>
      <c r="I138" s="274"/>
      <c r="J138" s="152">
        <f>3800000/2</f>
        <v>1900000</v>
      </c>
      <c r="K138" s="152">
        <f>J138-L138</f>
        <v>851105</v>
      </c>
      <c r="L138" s="152">
        <f t="shared" si="6"/>
        <v>1048895</v>
      </c>
      <c r="M138" s="153">
        <v>2020</v>
      </c>
      <c r="N138" s="113">
        <f>0.189*J138</f>
        <v>359100</v>
      </c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>
        <f>0.36305*J138</f>
        <v>689795</v>
      </c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265" t="s">
        <v>515</v>
      </c>
    </row>
    <row r="139" spans="1:40" s="64" customFormat="1">
      <c r="A139" s="40"/>
      <c r="B139" s="74"/>
      <c r="C139" s="41"/>
      <c r="D139" s="42"/>
      <c r="E139" s="43"/>
      <c r="F139" s="44"/>
      <c r="G139" s="44"/>
      <c r="H139" s="45"/>
      <c r="I139" s="46"/>
      <c r="J139" s="26"/>
      <c r="K139" s="26"/>
      <c r="L139" s="26"/>
      <c r="M139" s="2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8"/>
    </row>
    <row r="140" spans="1:40" s="64" customFormat="1" ht="26.4">
      <c r="A140" s="73" t="s">
        <v>108</v>
      </c>
      <c r="B140" s="74" t="s">
        <v>28</v>
      </c>
      <c r="C140" s="74" t="s">
        <v>109</v>
      </c>
      <c r="D140" s="75">
        <v>6</v>
      </c>
      <c r="E140" s="76" t="s">
        <v>326</v>
      </c>
      <c r="F140" s="77">
        <v>2030</v>
      </c>
      <c r="G140" s="77" t="s">
        <v>110</v>
      </c>
      <c r="H140" s="107"/>
      <c r="I140" s="79" t="s">
        <v>329</v>
      </c>
      <c r="J140" s="26"/>
      <c r="K140" s="26"/>
      <c r="L140" s="26"/>
      <c r="M140" s="2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89"/>
    </row>
    <row r="141" spans="1:40" s="64" customFormat="1" ht="26.4">
      <c r="A141" s="57" t="s">
        <v>108</v>
      </c>
      <c r="B141" s="58" t="s">
        <v>28</v>
      </c>
      <c r="C141" s="58" t="s">
        <v>111</v>
      </c>
      <c r="D141" s="59">
        <v>5</v>
      </c>
      <c r="E141" s="60" t="s">
        <v>326</v>
      </c>
      <c r="F141" s="61">
        <v>2030</v>
      </c>
      <c r="G141" s="61" t="s">
        <v>112</v>
      </c>
      <c r="H141" s="107"/>
      <c r="I141" s="63" t="s">
        <v>329</v>
      </c>
      <c r="J141" s="108"/>
      <c r="K141" s="108"/>
      <c r="L141" s="108"/>
      <c r="M141" s="109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110"/>
      <c r="AN141" s="89"/>
    </row>
    <row r="142" spans="1:40" s="64" customFormat="1" ht="39.6">
      <c r="A142" s="57" t="s">
        <v>108</v>
      </c>
      <c r="B142" s="58" t="s">
        <v>28</v>
      </c>
      <c r="C142" s="58" t="s">
        <v>113</v>
      </c>
      <c r="D142" s="59">
        <v>4</v>
      </c>
      <c r="E142" s="60" t="s">
        <v>326</v>
      </c>
      <c r="F142" s="61">
        <v>2030</v>
      </c>
      <c r="G142" s="61" t="s">
        <v>114</v>
      </c>
      <c r="H142" s="111" t="s">
        <v>115</v>
      </c>
      <c r="I142" s="63" t="s">
        <v>329</v>
      </c>
      <c r="J142" s="50"/>
      <c r="K142" s="50"/>
      <c r="L142" s="50"/>
      <c r="M142" s="5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89"/>
    </row>
    <row r="143" spans="1:40" s="64" customFormat="1" ht="66">
      <c r="A143" s="57" t="s">
        <v>108</v>
      </c>
      <c r="B143" s="58" t="s">
        <v>28</v>
      </c>
      <c r="C143" s="58" t="s">
        <v>0</v>
      </c>
      <c r="D143" s="59" t="s">
        <v>395</v>
      </c>
      <c r="E143" s="60" t="s">
        <v>326</v>
      </c>
      <c r="F143" s="61">
        <v>2030</v>
      </c>
      <c r="G143" s="61" t="s">
        <v>114</v>
      </c>
      <c r="H143" s="111" t="s">
        <v>115</v>
      </c>
      <c r="I143" s="63" t="s">
        <v>329</v>
      </c>
      <c r="J143" s="50">
        <v>2800000</v>
      </c>
      <c r="K143" s="50">
        <f>J143-L143</f>
        <v>923999.99999999977</v>
      </c>
      <c r="L143" s="50">
        <f>SUM(N143:AM143)</f>
        <v>1876000.0000000002</v>
      </c>
      <c r="M143" s="52">
        <v>2009</v>
      </c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>
        <f>(0.56*J143)*AM$7/AM$6</f>
        <v>1876000.0000000002</v>
      </c>
      <c r="AN143" s="89" t="s">
        <v>487</v>
      </c>
    </row>
    <row r="144" spans="1:40" s="64" customFormat="1" ht="66">
      <c r="A144" s="57" t="s">
        <v>108</v>
      </c>
      <c r="B144" s="58" t="s">
        <v>28</v>
      </c>
      <c r="C144" s="58" t="s">
        <v>0</v>
      </c>
      <c r="D144" s="59" t="s">
        <v>395</v>
      </c>
      <c r="E144" s="60" t="s">
        <v>326</v>
      </c>
      <c r="F144" s="61">
        <v>2030</v>
      </c>
      <c r="G144" s="61" t="s">
        <v>114</v>
      </c>
      <c r="H144" s="111" t="s">
        <v>115</v>
      </c>
      <c r="I144" s="63" t="s">
        <v>329</v>
      </c>
      <c r="J144" s="50">
        <v>2800000</v>
      </c>
      <c r="K144" s="50">
        <f>J144-L144</f>
        <v>923999.99999999977</v>
      </c>
      <c r="L144" s="50">
        <f>SUM(N144:AM144)</f>
        <v>1876000.0000000002</v>
      </c>
      <c r="M144" s="52">
        <v>2010</v>
      </c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>
        <f>(0.56*J144)*AM$7/AM$6</f>
        <v>1876000.0000000002</v>
      </c>
      <c r="AN144" s="89" t="s">
        <v>487</v>
      </c>
    </row>
    <row r="145" spans="1:40" s="64" customFormat="1" ht="26.4">
      <c r="A145" s="57" t="s">
        <v>108</v>
      </c>
      <c r="B145" s="58" t="s">
        <v>28</v>
      </c>
      <c r="C145" s="58" t="s">
        <v>116</v>
      </c>
      <c r="D145" s="59">
        <v>3</v>
      </c>
      <c r="E145" s="60" t="s">
        <v>326</v>
      </c>
      <c r="F145" s="61">
        <v>2020</v>
      </c>
      <c r="G145" s="61" t="s">
        <v>117</v>
      </c>
      <c r="H145" s="107"/>
      <c r="I145" s="63" t="s">
        <v>329</v>
      </c>
      <c r="J145" s="50"/>
      <c r="K145" s="50"/>
      <c r="L145" s="50"/>
      <c r="M145" s="5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89"/>
    </row>
    <row r="146" spans="1:40" s="64" customFormat="1" ht="26.4">
      <c r="A146" s="57" t="s">
        <v>108</v>
      </c>
      <c r="B146" s="58" t="s">
        <v>28</v>
      </c>
      <c r="C146" s="58" t="s">
        <v>118</v>
      </c>
      <c r="D146" s="59">
        <v>6</v>
      </c>
      <c r="E146" s="60" t="s">
        <v>326</v>
      </c>
      <c r="F146" s="61">
        <v>2030</v>
      </c>
      <c r="G146" s="61" t="s">
        <v>119</v>
      </c>
      <c r="H146" s="107"/>
      <c r="I146" s="63" t="s">
        <v>329</v>
      </c>
      <c r="J146" s="50"/>
      <c r="K146" s="50"/>
      <c r="L146" s="50"/>
      <c r="M146" s="5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89"/>
    </row>
    <row r="147" spans="1:40" s="64" customFormat="1" ht="26.4">
      <c r="A147" s="57" t="s">
        <v>108</v>
      </c>
      <c r="B147" s="58" t="s">
        <v>28</v>
      </c>
      <c r="C147" s="58" t="s">
        <v>120</v>
      </c>
      <c r="D147" s="59">
        <v>3</v>
      </c>
      <c r="E147" s="60" t="s">
        <v>326</v>
      </c>
      <c r="F147" s="61">
        <v>2008</v>
      </c>
      <c r="G147" s="61" t="s">
        <v>332</v>
      </c>
      <c r="H147" s="62">
        <v>2008</v>
      </c>
      <c r="I147" s="63" t="s">
        <v>329</v>
      </c>
      <c r="J147" s="50"/>
      <c r="K147" s="50"/>
      <c r="L147" s="50"/>
      <c r="M147" s="5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112"/>
    </row>
    <row r="148" spans="1:40" s="64" customFormat="1" ht="26.4">
      <c r="A148" s="57" t="s">
        <v>108</v>
      </c>
      <c r="B148" s="58" t="s">
        <v>28</v>
      </c>
      <c r="C148" s="58" t="s">
        <v>121</v>
      </c>
      <c r="D148" s="59">
        <v>3</v>
      </c>
      <c r="E148" s="60" t="s">
        <v>326</v>
      </c>
      <c r="F148" s="61">
        <v>2008</v>
      </c>
      <c r="G148" s="61" t="s">
        <v>332</v>
      </c>
      <c r="H148" s="62">
        <v>2008</v>
      </c>
      <c r="I148" s="63" t="s">
        <v>329</v>
      </c>
      <c r="J148" s="50"/>
      <c r="K148" s="50"/>
      <c r="L148" s="50"/>
      <c r="M148" s="5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89"/>
    </row>
    <row r="149" spans="1:40" s="64" customFormat="1" ht="66">
      <c r="A149" s="57" t="s">
        <v>108</v>
      </c>
      <c r="B149" s="58" t="s">
        <v>28</v>
      </c>
      <c r="C149" s="58" t="s">
        <v>122</v>
      </c>
      <c r="D149" s="59">
        <v>3</v>
      </c>
      <c r="E149" s="60" t="s">
        <v>326</v>
      </c>
      <c r="F149" s="61">
        <v>2008</v>
      </c>
      <c r="G149" s="61" t="s">
        <v>332</v>
      </c>
      <c r="H149" s="62">
        <v>2008</v>
      </c>
      <c r="I149" s="63" t="s">
        <v>329</v>
      </c>
      <c r="J149" s="50"/>
      <c r="K149" s="50"/>
      <c r="L149" s="50"/>
      <c r="M149" s="5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89" t="s">
        <v>1</v>
      </c>
    </row>
    <row r="150" spans="1:40" s="64" customFormat="1" ht="26.4">
      <c r="A150" s="57" t="s">
        <v>108</v>
      </c>
      <c r="B150" s="58" t="s">
        <v>28</v>
      </c>
      <c r="C150" s="58" t="s">
        <v>123</v>
      </c>
      <c r="D150" s="59">
        <v>8</v>
      </c>
      <c r="E150" s="60" t="s">
        <v>326</v>
      </c>
      <c r="F150" s="61">
        <v>2030</v>
      </c>
      <c r="G150" s="61" t="s">
        <v>124</v>
      </c>
      <c r="H150" s="62"/>
      <c r="I150" s="63" t="s">
        <v>329</v>
      </c>
      <c r="J150" s="50"/>
      <c r="K150" s="50"/>
      <c r="L150" s="50"/>
      <c r="M150" s="5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89"/>
    </row>
    <row r="151" spans="1:40" s="64" customFormat="1" ht="26.4">
      <c r="A151" s="57" t="s">
        <v>108</v>
      </c>
      <c r="B151" s="58" t="s">
        <v>28</v>
      </c>
      <c r="C151" s="58" t="s">
        <v>125</v>
      </c>
      <c r="D151" s="59">
        <v>4</v>
      </c>
      <c r="E151" s="60" t="s">
        <v>326</v>
      </c>
      <c r="F151" s="61">
        <v>2030</v>
      </c>
      <c r="G151" s="61" t="s">
        <v>124</v>
      </c>
      <c r="H151" s="62"/>
      <c r="I151" s="63" t="s">
        <v>329</v>
      </c>
      <c r="J151" s="50"/>
      <c r="K151" s="50"/>
      <c r="L151" s="50"/>
      <c r="M151" s="5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>
        <f>0.66*J151</f>
        <v>0</v>
      </c>
      <c r="AN151" s="89" t="s">
        <v>418</v>
      </c>
    </row>
    <row r="152" spans="1:40" s="64" customFormat="1" ht="27" thickBot="1">
      <c r="A152" s="65" t="s">
        <v>108</v>
      </c>
      <c r="B152" s="30" t="s">
        <v>28</v>
      </c>
      <c r="C152" s="30" t="s">
        <v>127</v>
      </c>
      <c r="D152" s="66">
        <v>2</v>
      </c>
      <c r="E152" s="67" t="s">
        <v>326</v>
      </c>
      <c r="F152" s="68">
        <v>2012</v>
      </c>
      <c r="G152" s="68" t="s">
        <v>126</v>
      </c>
      <c r="H152" s="69">
        <v>2012</v>
      </c>
      <c r="I152" s="70" t="s">
        <v>329</v>
      </c>
      <c r="J152" s="36"/>
      <c r="K152" s="36"/>
      <c r="L152" s="36"/>
      <c r="M152" s="37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71" t="s">
        <v>128</v>
      </c>
    </row>
    <row r="153" spans="1:40" s="64" customFormat="1">
      <c r="A153" s="73"/>
      <c r="B153" s="74"/>
      <c r="C153" s="74"/>
      <c r="D153" s="75"/>
      <c r="E153" s="76"/>
      <c r="F153" s="77"/>
      <c r="G153" s="77"/>
      <c r="H153" s="78"/>
      <c r="I153" s="79"/>
      <c r="J153" s="26"/>
      <c r="K153" s="26"/>
      <c r="L153" s="26"/>
      <c r="M153" s="2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28"/>
    </row>
    <row r="154" spans="1:40" s="64" customFormat="1" ht="53.4" thickBot="1">
      <c r="A154" s="65" t="s">
        <v>129</v>
      </c>
      <c r="B154" s="55" t="s">
        <v>328</v>
      </c>
      <c r="C154" s="30" t="s">
        <v>130</v>
      </c>
      <c r="D154" s="66">
        <v>3</v>
      </c>
      <c r="E154" s="67"/>
      <c r="F154" s="68"/>
      <c r="G154" s="68"/>
      <c r="H154" s="69">
        <v>2007</v>
      </c>
      <c r="I154" s="70" t="s">
        <v>329</v>
      </c>
      <c r="J154" s="36"/>
      <c r="K154" s="36"/>
      <c r="L154" s="36"/>
      <c r="M154" s="37"/>
      <c r="N154" s="38"/>
      <c r="O154" s="38"/>
      <c r="P154" s="113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113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71" t="s">
        <v>208</v>
      </c>
    </row>
    <row r="155" spans="1:40" s="64" customFormat="1">
      <c r="A155" s="176"/>
      <c r="B155" s="264"/>
      <c r="C155" s="177"/>
      <c r="D155" s="178"/>
      <c r="E155" s="179"/>
      <c r="F155" s="180"/>
      <c r="G155" s="180"/>
      <c r="H155" s="181"/>
      <c r="I155" s="182"/>
      <c r="J155" s="90"/>
      <c r="K155" s="51"/>
      <c r="L155" s="51"/>
      <c r="M155" s="91"/>
      <c r="N155" s="92"/>
      <c r="O155" s="92"/>
      <c r="P155" s="53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53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112"/>
    </row>
    <row r="156" spans="1:40" s="64" customFormat="1">
      <c r="A156" s="176" t="s">
        <v>468</v>
      </c>
      <c r="B156" s="264"/>
      <c r="C156" s="58" t="s">
        <v>469</v>
      </c>
      <c r="D156" s="59" t="s">
        <v>470</v>
      </c>
      <c r="E156" s="60"/>
      <c r="F156" s="61"/>
      <c r="G156" s="61"/>
      <c r="H156" s="62"/>
      <c r="I156" s="63"/>
      <c r="J156" s="50">
        <v>737467</v>
      </c>
      <c r="K156" s="50">
        <f t="shared" ref="K156:K159" si="8">J156-L156</f>
        <v>350584.43712999998</v>
      </c>
      <c r="L156" s="50">
        <f>SUM(N156:AM156)</f>
        <v>386882.56287000002</v>
      </c>
      <c r="M156" s="52">
        <v>2016</v>
      </c>
      <c r="N156" s="72">
        <f>J156*0.01086</f>
        <v>8008.8916200000003</v>
      </c>
      <c r="O156" s="72"/>
      <c r="P156" s="72">
        <f>J156*0.0033</f>
        <v>2433.6410999999998</v>
      </c>
      <c r="Q156" s="72"/>
      <c r="R156" s="72"/>
      <c r="S156" s="72"/>
      <c r="T156" s="72"/>
      <c r="U156" s="72"/>
      <c r="V156" s="72"/>
      <c r="W156" s="72">
        <f>J156*0.00538</f>
        <v>3967.5724600000003</v>
      </c>
      <c r="X156" s="72"/>
      <c r="Y156" s="72"/>
      <c r="Z156" s="72"/>
      <c r="AA156" s="72"/>
      <c r="AB156" s="72"/>
      <c r="AC156" s="72">
        <f>J156*0.15248</f>
        <v>112448.96816</v>
      </c>
      <c r="AD156" s="72">
        <f>J156*0.01214</f>
        <v>8952.8493799999997</v>
      </c>
      <c r="AE156" s="72"/>
      <c r="AF156" s="72"/>
      <c r="AG156" s="72">
        <f>J156*0.1785</f>
        <v>131637.85949999999</v>
      </c>
      <c r="AH156" s="72"/>
      <c r="AI156" s="72"/>
      <c r="AJ156" s="72"/>
      <c r="AK156" s="72"/>
      <c r="AL156" s="72"/>
      <c r="AM156" s="72">
        <f>J156*0.16195</f>
        <v>119432.78065</v>
      </c>
      <c r="AN156" s="93" t="s">
        <v>479</v>
      </c>
    </row>
    <row r="157" spans="1:40" s="64" customFormat="1">
      <c r="A157" s="176" t="s">
        <v>468</v>
      </c>
      <c r="B157" s="264"/>
      <c r="C157" s="58" t="s">
        <v>469</v>
      </c>
      <c r="D157" s="59" t="s">
        <v>470</v>
      </c>
      <c r="E157" s="60"/>
      <c r="F157" s="61"/>
      <c r="G157" s="61"/>
      <c r="H157" s="62"/>
      <c r="I157" s="63"/>
      <c r="J157" s="50">
        <v>1143389</v>
      </c>
      <c r="K157" s="50">
        <f t="shared" si="8"/>
        <v>543555.69670999993</v>
      </c>
      <c r="L157" s="50">
        <f>SUM(N157:AM157)</f>
        <v>599833.30329000007</v>
      </c>
      <c r="M157" s="52">
        <v>2017</v>
      </c>
      <c r="N157" s="72">
        <f t="shared" ref="N157" si="9">J157*0.01086</f>
        <v>12417.204540000001</v>
      </c>
      <c r="O157" s="72"/>
      <c r="P157" s="72">
        <f t="shared" ref="P157" si="10">J157*0.0033</f>
        <v>3773.1837</v>
      </c>
      <c r="Q157" s="72"/>
      <c r="R157" s="72"/>
      <c r="S157" s="72"/>
      <c r="T157" s="72"/>
      <c r="U157" s="72"/>
      <c r="V157" s="72"/>
      <c r="W157" s="72">
        <f t="shared" ref="W157" si="11">J157*0.00538</f>
        <v>6151.43282</v>
      </c>
      <c r="X157" s="72"/>
      <c r="Y157" s="72"/>
      <c r="Z157" s="72"/>
      <c r="AA157" s="72"/>
      <c r="AB157" s="72"/>
      <c r="AC157" s="72">
        <f t="shared" ref="AC157" si="12">J157*0.15248</f>
        <v>174343.95472000001</v>
      </c>
      <c r="AD157" s="72">
        <f t="shared" ref="AD157" si="13">J157*0.01214</f>
        <v>13880.742459999999</v>
      </c>
      <c r="AE157" s="72"/>
      <c r="AF157" s="72"/>
      <c r="AG157" s="72">
        <f t="shared" ref="AG157" si="14">J157*0.1785</f>
        <v>204094.93649999998</v>
      </c>
      <c r="AH157" s="72"/>
      <c r="AI157" s="72"/>
      <c r="AJ157" s="72"/>
      <c r="AK157" s="72"/>
      <c r="AL157" s="72"/>
      <c r="AM157" s="72">
        <f t="shared" ref="AM157" si="15">J157*0.16195</f>
        <v>185171.84855000002</v>
      </c>
      <c r="AN157" s="93" t="s">
        <v>479</v>
      </c>
    </row>
    <row r="158" spans="1:40" s="64" customFormat="1">
      <c r="A158" s="176" t="s">
        <v>468</v>
      </c>
      <c r="B158" s="264"/>
      <c r="C158" s="58" t="s">
        <v>469</v>
      </c>
      <c r="D158" s="59" t="s">
        <v>470</v>
      </c>
      <c r="E158" s="60"/>
      <c r="F158" s="61"/>
      <c r="G158" s="61"/>
      <c r="H158" s="62"/>
      <c r="I158" s="63"/>
      <c r="J158" s="50">
        <v>1143389</v>
      </c>
      <c r="K158" s="50">
        <f t="shared" ref="K158" si="16">J158-L158</f>
        <v>543555.69670999993</v>
      </c>
      <c r="L158" s="50">
        <f>SUM(N158:AM158)</f>
        <v>599833.30329000007</v>
      </c>
      <c r="M158" s="52">
        <v>2018</v>
      </c>
      <c r="N158" s="72">
        <f t="shared" ref="N158" si="17">J158*0.01086</f>
        <v>12417.204540000001</v>
      </c>
      <c r="O158" s="72"/>
      <c r="P158" s="72">
        <f t="shared" ref="P158" si="18">J158*0.0033</f>
        <v>3773.1837</v>
      </c>
      <c r="Q158" s="72"/>
      <c r="R158" s="72"/>
      <c r="S158" s="72"/>
      <c r="T158" s="72"/>
      <c r="U158" s="72"/>
      <c r="V158" s="72"/>
      <c r="W158" s="72">
        <f t="shared" ref="W158" si="19">J158*0.00538</f>
        <v>6151.43282</v>
      </c>
      <c r="X158" s="72"/>
      <c r="Y158" s="72"/>
      <c r="Z158" s="72"/>
      <c r="AA158" s="72"/>
      <c r="AB158" s="72"/>
      <c r="AC158" s="72">
        <f t="shared" ref="AC158" si="20">J158*0.15248</f>
        <v>174343.95472000001</v>
      </c>
      <c r="AD158" s="72">
        <f t="shared" ref="AD158" si="21">J158*0.01214</f>
        <v>13880.742459999999</v>
      </c>
      <c r="AE158" s="72"/>
      <c r="AF158" s="72"/>
      <c r="AG158" s="72">
        <f t="shared" ref="AG158" si="22">J158*0.1785</f>
        <v>204094.93649999998</v>
      </c>
      <c r="AH158" s="72"/>
      <c r="AI158" s="72"/>
      <c r="AJ158" s="72"/>
      <c r="AK158" s="72"/>
      <c r="AL158" s="72"/>
      <c r="AM158" s="72">
        <f t="shared" ref="AM158" si="23">J158*0.16195</f>
        <v>185171.84855000002</v>
      </c>
      <c r="AN158" s="93" t="s">
        <v>479</v>
      </c>
    </row>
    <row r="159" spans="1:40" s="64" customFormat="1">
      <c r="A159" s="252" t="s">
        <v>468</v>
      </c>
      <c r="B159" s="58"/>
      <c r="C159" s="268" t="s">
        <v>508</v>
      </c>
      <c r="D159" s="253" t="s">
        <v>503</v>
      </c>
      <c r="E159" s="196"/>
      <c r="F159" s="197"/>
      <c r="G159" s="197"/>
      <c r="H159" s="198"/>
      <c r="I159" s="199"/>
      <c r="J159" s="50">
        <v>803665</v>
      </c>
      <c r="K159" s="50">
        <f t="shared" si="8"/>
        <v>406654.49000000005</v>
      </c>
      <c r="L159" s="50">
        <f t="shared" ref="L159" si="24">SUM(N159:AM159)</f>
        <v>397010.50999999995</v>
      </c>
      <c r="M159" s="52">
        <v>2019</v>
      </c>
      <c r="N159" s="72">
        <f>J159*0.01</f>
        <v>8036.6500000000005</v>
      </c>
      <c r="O159" s="72"/>
      <c r="P159" s="72">
        <f>J159*0.0058</f>
        <v>4661.2569999999996</v>
      </c>
      <c r="Q159" s="72"/>
      <c r="R159" s="72"/>
      <c r="S159" s="72"/>
      <c r="T159" s="72"/>
      <c r="U159" s="72"/>
      <c r="V159" s="72"/>
      <c r="W159" s="72">
        <f>J159*0.0052</f>
        <v>4179.058</v>
      </c>
      <c r="X159" s="72"/>
      <c r="Y159" s="72"/>
      <c r="Z159" s="72"/>
      <c r="AA159" s="72"/>
      <c r="AB159" s="72"/>
      <c r="AC159" s="72">
        <f>J159*0.151</f>
        <v>121353.41499999999</v>
      </c>
      <c r="AD159" s="72">
        <f>J159*0.0067</f>
        <v>5384.5555000000004</v>
      </c>
      <c r="AE159" s="72"/>
      <c r="AF159" s="72"/>
      <c r="AG159" s="72">
        <f>J159*0.1828</f>
        <v>146909.962</v>
      </c>
      <c r="AH159" s="72"/>
      <c r="AI159" s="72"/>
      <c r="AJ159" s="72"/>
      <c r="AK159" s="72"/>
      <c r="AL159" s="72"/>
      <c r="AM159" s="72">
        <f>J159*0.1325</f>
        <v>106485.6125</v>
      </c>
      <c r="AN159" s="93" t="s">
        <v>509</v>
      </c>
    </row>
    <row r="160" spans="1:40" s="64" customFormat="1">
      <c r="A160" s="252" t="s">
        <v>468</v>
      </c>
      <c r="B160" s="58"/>
      <c r="C160" s="268" t="s">
        <v>508</v>
      </c>
      <c r="D160" s="253" t="s">
        <v>503</v>
      </c>
      <c r="E160" s="196"/>
      <c r="F160" s="197"/>
      <c r="G160" s="197"/>
      <c r="H160" s="198"/>
      <c r="I160" s="199"/>
      <c r="J160" s="50">
        <v>803665</v>
      </c>
      <c r="K160" s="50">
        <f t="shared" ref="K160" si="25">J160-L160</f>
        <v>406654.49000000005</v>
      </c>
      <c r="L160" s="50">
        <f t="shared" ref="L160" si="26">SUM(N160:AM160)</f>
        <v>397010.50999999995</v>
      </c>
      <c r="M160" s="52">
        <v>2020</v>
      </c>
      <c r="N160" s="72">
        <f>J160*0.01</f>
        <v>8036.6500000000005</v>
      </c>
      <c r="O160" s="72"/>
      <c r="P160" s="72">
        <f>J160*0.0058</f>
        <v>4661.2569999999996</v>
      </c>
      <c r="Q160" s="72"/>
      <c r="R160" s="72"/>
      <c r="S160" s="72"/>
      <c r="T160" s="72"/>
      <c r="U160" s="72"/>
      <c r="V160" s="72"/>
      <c r="W160" s="72">
        <f>J160*0.0052</f>
        <v>4179.058</v>
      </c>
      <c r="X160" s="72"/>
      <c r="Y160" s="72"/>
      <c r="Z160" s="72"/>
      <c r="AA160" s="72"/>
      <c r="AB160" s="72"/>
      <c r="AC160" s="72">
        <f>J160*0.151</f>
        <v>121353.41499999999</v>
      </c>
      <c r="AD160" s="72">
        <f>J160*0.0067</f>
        <v>5384.5555000000004</v>
      </c>
      <c r="AE160" s="72"/>
      <c r="AF160" s="72"/>
      <c r="AG160" s="72">
        <f>J160*0.1828</f>
        <v>146909.962</v>
      </c>
      <c r="AH160" s="72"/>
      <c r="AI160" s="72"/>
      <c r="AJ160" s="72"/>
      <c r="AK160" s="72"/>
      <c r="AL160" s="72"/>
      <c r="AM160" s="72">
        <f>J160*0.1325</f>
        <v>106485.6125</v>
      </c>
      <c r="AN160" s="93" t="s">
        <v>509</v>
      </c>
    </row>
    <row r="161" spans="1:40" s="64" customFormat="1" ht="27" thickBot="1">
      <c r="A161" s="257" t="s">
        <v>468</v>
      </c>
      <c r="B161" s="30"/>
      <c r="C161" s="258" t="s">
        <v>513</v>
      </c>
      <c r="D161" s="259" t="s">
        <v>517</v>
      </c>
      <c r="E161" s="32"/>
      <c r="F161" s="33"/>
      <c r="G161" s="33"/>
      <c r="H161" s="34"/>
      <c r="I161" s="35"/>
      <c r="J161" s="36">
        <f>510000</f>
        <v>510000</v>
      </c>
      <c r="K161" s="36">
        <f t="shared" ref="K161" si="27">J161-L161</f>
        <v>192780</v>
      </c>
      <c r="L161" s="36">
        <f t="shared" ref="L161" si="28">SUM(N161:AM161)</f>
        <v>317220</v>
      </c>
      <c r="M161" s="37">
        <v>2021</v>
      </c>
      <c r="N161" s="38">
        <f>0.407*J161</f>
        <v>207570</v>
      </c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>
        <f>0.215*J161</f>
        <v>109650</v>
      </c>
      <c r="AN161" s="265" t="s">
        <v>514</v>
      </c>
    </row>
    <row r="162" spans="1:40" s="64" customFormat="1">
      <c r="A162" s="242"/>
      <c r="B162" s="74"/>
      <c r="C162" s="243"/>
      <c r="D162" s="276"/>
      <c r="E162" s="43"/>
      <c r="F162" s="44"/>
      <c r="G162" s="44"/>
      <c r="H162" s="45"/>
      <c r="I162" s="46"/>
      <c r="J162" s="26"/>
      <c r="K162" s="26"/>
      <c r="L162" s="26"/>
      <c r="M162" s="2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244"/>
    </row>
    <row r="163" spans="1:40" s="64" customFormat="1" ht="13.8" thickBot="1">
      <c r="A163" s="257" t="s">
        <v>527</v>
      </c>
      <c r="B163" s="30"/>
      <c r="C163" s="258" t="s">
        <v>537</v>
      </c>
      <c r="D163" s="259" t="s">
        <v>538</v>
      </c>
      <c r="E163" s="32"/>
      <c r="F163" s="33"/>
      <c r="G163" s="33"/>
      <c r="H163" s="34"/>
      <c r="I163" s="35"/>
      <c r="J163" s="36">
        <v>2000000</v>
      </c>
      <c r="K163" s="36">
        <f t="shared" ref="K163" si="29">J163-L163</f>
        <v>1260000</v>
      </c>
      <c r="L163" s="36">
        <f t="shared" ref="L163" si="30">SUM(N163:AM163)</f>
        <v>740000</v>
      </c>
      <c r="M163" s="37">
        <v>2023</v>
      </c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>
        <f>J163*0.37</f>
        <v>740000</v>
      </c>
      <c r="AL163" s="38"/>
      <c r="AM163" s="38"/>
      <c r="AN163" s="265" t="s">
        <v>539</v>
      </c>
    </row>
    <row r="164" spans="1:40" s="238" customFormat="1">
      <c r="A164" s="73"/>
      <c r="B164" s="41"/>
      <c r="C164" s="74"/>
      <c r="D164" s="75"/>
      <c r="E164" s="76"/>
      <c r="F164" s="77"/>
      <c r="G164" s="77"/>
      <c r="H164" s="78"/>
      <c r="I164" s="79"/>
      <c r="J164" s="26"/>
      <c r="K164" s="26"/>
      <c r="L164" s="26"/>
      <c r="M164" s="2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28"/>
    </row>
    <row r="165" spans="1:40" s="238" customFormat="1" ht="40.200000000000003" thickBot="1">
      <c r="A165" s="65" t="s">
        <v>519</v>
      </c>
      <c r="B165" s="55"/>
      <c r="C165" s="30" t="s">
        <v>520</v>
      </c>
      <c r="D165" s="66" t="s">
        <v>435</v>
      </c>
      <c r="E165" s="67"/>
      <c r="F165" s="68"/>
      <c r="G165" s="68"/>
      <c r="H165" s="69"/>
      <c r="I165" s="70"/>
      <c r="J165" s="36"/>
      <c r="K165" s="36"/>
      <c r="L165" s="36"/>
      <c r="M165" s="37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>
        <f>J165*0.53</f>
        <v>0</v>
      </c>
      <c r="AK165" s="38"/>
      <c r="AL165" s="38"/>
      <c r="AM165" s="38"/>
      <c r="AN165" s="265" t="s">
        <v>531</v>
      </c>
    </row>
    <row r="166" spans="1:40" s="238" customFormat="1">
      <c r="A166" s="73"/>
      <c r="B166" s="41"/>
      <c r="C166" s="74"/>
      <c r="D166" s="75"/>
      <c r="E166" s="76"/>
      <c r="F166" s="77"/>
      <c r="G166" s="77"/>
      <c r="H166" s="78"/>
      <c r="I166" s="79"/>
      <c r="J166" s="26"/>
      <c r="K166" s="26"/>
      <c r="L166" s="26"/>
      <c r="M166" s="2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28"/>
    </row>
    <row r="167" spans="1:40" s="238" customFormat="1" ht="26.4">
      <c r="A167" s="57" t="s">
        <v>521</v>
      </c>
      <c r="B167" s="104"/>
      <c r="C167" s="268" t="s">
        <v>529</v>
      </c>
      <c r="D167" s="59" t="s">
        <v>435</v>
      </c>
      <c r="E167" s="60"/>
      <c r="F167" s="61"/>
      <c r="G167" s="61"/>
      <c r="H167" s="62"/>
      <c r="I167" s="63"/>
      <c r="J167" s="50">
        <v>1000000</v>
      </c>
      <c r="K167" s="50">
        <f t="shared" ref="K167" si="31">J167-L167</f>
        <v>470000</v>
      </c>
      <c r="L167" s="50">
        <f t="shared" ref="L167" si="32">SUM(N167:AM167)</f>
        <v>530000</v>
      </c>
      <c r="M167" s="52">
        <v>2022</v>
      </c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>
        <f>J167*0.53</f>
        <v>530000</v>
      </c>
      <c r="AK167" s="72"/>
      <c r="AL167" s="72"/>
      <c r="AM167" s="72"/>
      <c r="AN167" s="93" t="s">
        <v>530</v>
      </c>
    </row>
    <row r="168" spans="1:40" s="238" customFormat="1" ht="27" thickBot="1">
      <c r="A168" s="154" t="s">
        <v>521</v>
      </c>
      <c r="B168" s="156"/>
      <c r="C168" s="240" t="s">
        <v>529</v>
      </c>
      <c r="D168" s="241" t="s">
        <v>435</v>
      </c>
      <c r="E168" s="157"/>
      <c r="F168" s="158"/>
      <c r="G168" s="158"/>
      <c r="H168" s="159"/>
      <c r="I168" s="160"/>
      <c r="J168" s="152">
        <v>1000000</v>
      </c>
      <c r="K168" s="152">
        <f t="shared" ref="K168" si="33">J168-L168</f>
        <v>470000</v>
      </c>
      <c r="L168" s="152">
        <f t="shared" ref="L168" si="34">SUM(N168:AM168)</f>
        <v>530000</v>
      </c>
      <c r="M168" s="153">
        <v>2023</v>
      </c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>
        <f>J168*0.53</f>
        <v>530000</v>
      </c>
      <c r="AK168" s="113"/>
      <c r="AL168" s="113"/>
      <c r="AM168" s="113"/>
      <c r="AN168" s="277" t="s">
        <v>528</v>
      </c>
    </row>
    <row r="169" spans="1:40" s="238" customFormat="1">
      <c r="A169" s="73"/>
      <c r="B169" s="41"/>
      <c r="C169" s="74"/>
      <c r="D169" s="75"/>
      <c r="E169" s="76"/>
      <c r="F169" s="77"/>
      <c r="G169" s="77"/>
      <c r="H169" s="78"/>
      <c r="I169" s="79"/>
      <c r="J169" s="26"/>
      <c r="K169" s="26"/>
      <c r="L169" s="26"/>
      <c r="M169" s="2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28"/>
    </row>
    <row r="170" spans="1:40" s="238" customFormat="1" ht="26.4">
      <c r="A170" s="252" t="s">
        <v>431</v>
      </c>
      <c r="B170" s="104" t="s">
        <v>328</v>
      </c>
      <c r="C170" s="268" t="s">
        <v>436</v>
      </c>
      <c r="D170" s="59" t="s">
        <v>435</v>
      </c>
      <c r="E170" s="60"/>
      <c r="F170" s="61"/>
      <c r="G170" s="61"/>
      <c r="H170" s="62">
        <v>2007</v>
      </c>
      <c r="I170" s="63" t="s">
        <v>329</v>
      </c>
      <c r="J170" s="50">
        <v>1000000</v>
      </c>
      <c r="K170" s="50">
        <f>J170-L170</f>
        <v>591000</v>
      </c>
      <c r="L170" s="50">
        <f>SUM(N170:AM170)</f>
        <v>409000</v>
      </c>
      <c r="M170" s="52">
        <v>2015</v>
      </c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>
        <f>J170*0.175</f>
        <v>175000</v>
      </c>
      <c r="AK170" s="72">
        <f>J170*0.234</f>
        <v>234000</v>
      </c>
      <c r="AL170" s="72"/>
      <c r="AM170" s="72"/>
      <c r="AN170" s="93" t="s">
        <v>498</v>
      </c>
    </row>
    <row r="171" spans="1:40" s="238" customFormat="1" ht="27" thickBot="1">
      <c r="A171" s="257" t="s">
        <v>431</v>
      </c>
      <c r="B171" s="55" t="s">
        <v>328</v>
      </c>
      <c r="C171" s="258" t="s">
        <v>436</v>
      </c>
      <c r="D171" s="66" t="s">
        <v>435</v>
      </c>
      <c r="E171" s="67"/>
      <c r="F171" s="68"/>
      <c r="G171" s="68"/>
      <c r="H171" s="69">
        <v>2007</v>
      </c>
      <c r="I171" s="70" t="s">
        <v>329</v>
      </c>
      <c r="J171" s="36">
        <v>1000000</v>
      </c>
      <c r="K171" s="36">
        <f>J171-L171</f>
        <v>591000</v>
      </c>
      <c r="L171" s="36">
        <f>SUM(N171:AM171)</f>
        <v>409000</v>
      </c>
      <c r="M171" s="37">
        <v>2013</v>
      </c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>
        <f>J171*0.175</f>
        <v>175000</v>
      </c>
      <c r="AK171" s="38">
        <f>J171*0.234</f>
        <v>234000</v>
      </c>
      <c r="AL171" s="38"/>
      <c r="AM171" s="38"/>
      <c r="AN171" s="265" t="s">
        <v>498</v>
      </c>
    </row>
    <row r="172" spans="1:40" s="18" customFormat="1">
      <c r="A172" s="242"/>
      <c r="B172" s="41"/>
      <c r="C172" s="243"/>
      <c r="D172" s="75"/>
      <c r="E172" s="76"/>
      <c r="F172" s="77"/>
      <c r="G172" s="77"/>
      <c r="H172" s="78"/>
      <c r="I172" s="79"/>
      <c r="J172" s="26"/>
      <c r="K172" s="26"/>
      <c r="L172" s="26"/>
      <c r="M172" s="2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244"/>
    </row>
    <row r="173" spans="1:40" s="18" customFormat="1" ht="40.200000000000003" thickBot="1">
      <c r="A173" s="257" t="s">
        <v>522</v>
      </c>
      <c r="B173" s="55"/>
      <c r="C173" s="258" t="s">
        <v>523</v>
      </c>
      <c r="D173" s="66" t="s">
        <v>435</v>
      </c>
      <c r="E173" s="67"/>
      <c r="F173" s="68"/>
      <c r="G173" s="68"/>
      <c r="H173" s="69"/>
      <c r="I173" s="70"/>
      <c r="J173" s="36"/>
      <c r="K173" s="36"/>
      <c r="L173" s="36"/>
      <c r="M173" s="37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>
        <f>J173*0.53</f>
        <v>0</v>
      </c>
      <c r="AK173" s="38"/>
      <c r="AL173" s="38"/>
      <c r="AM173" s="38"/>
      <c r="AN173" s="265" t="s">
        <v>532</v>
      </c>
    </row>
    <row r="174" spans="1:40" s="64" customFormat="1">
      <c r="A174" s="95"/>
      <c r="B174" s="49"/>
      <c r="C174" s="74"/>
      <c r="D174" s="75"/>
      <c r="E174" s="76"/>
      <c r="F174" s="77"/>
      <c r="G174" s="77"/>
      <c r="H174" s="78"/>
      <c r="I174" s="79"/>
      <c r="J174" s="26"/>
      <c r="K174" s="26"/>
      <c r="L174" s="26"/>
      <c r="M174" s="2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28"/>
    </row>
    <row r="175" spans="1:40" s="18" customFormat="1" ht="39.6">
      <c r="A175" s="57" t="s">
        <v>439</v>
      </c>
      <c r="B175" s="58" t="s">
        <v>28</v>
      </c>
      <c r="C175" s="58" t="s">
        <v>347</v>
      </c>
      <c r="D175" s="59">
        <v>1</v>
      </c>
      <c r="E175" s="60" t="s">
        <v>326</v>
      </c>
      <c r="F175" s="61">
        <v>2015</v>
      </c>
      <c r="G175" s="61" t="s">
        <v>348</v>
      </c>
      <c r="H175" s="62" t="s">
        <v>32</v>
      </c>
      <c r="I175" s="63" t="s">
        <v>329</v>
      </c>
      <c r="J175" s="50"/>
      <c r="K175" s="50"/>
      <c r="L175" s="50"/>
      <c r="M175" s="5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28" t="s">
        <v>360</v>
      </c>
    </row>
    <row r="176" spans="1:40" s="18" customFormat="1" ht="26.4">
      <c r="A176" s="57" t="s">
        <v>439</v>
      </c>
      <c r="B176" s="58" t="s">
        <v>28</v>
      </c>
      <c r="C176" s="58" t="s">
        <v>414</v>
      </c>
      <c r="D176" s="59"/>
      <c r="E176" s="60"/>
      <c r="F176" s="61"/>
      <c r="G176" s="61"/>
      <c r="H176" s="62"/>
      <c r="I176" s="63"/>
      <c r="J176" s="50">
        <v>1286560</v>
      </c>
      <c r="K176" s="50">
        <f>0.67*J176</f>
        <v>861995.20000000007</v>
      </c>
      <c r="L176" s="50">
        <f>0.33*J176</f>
        <v>424564.80000000005</v>
      </c>
      <c r="M176" s="52">
        <v>2008</v>
      </c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>
        <f>0.33*J176</f>
        <v>424564.80000000005</v>
      </c>
      <c r="AK176" s="72"/>
      <c r="AL176" s="72"/>
      <c r="AM176" s="72"/>
      <c r="AN176" s="48" t="s">
        <v>415</v>
      </c>
    </row>
    <row r="177" spans="1:40" s="18" customFormat="1" ht="26.4">
      <c r="A177" s="57" t="s">
        <v>440</v>
      </c>
      <c r="B177" s="58" t="s">
        <v>328</v>
      </c>
      <c r="C177" s="58" t="s">
        <v>349</v>
      </c>
      <c r="D177" s="59">
        <v>2</v>
      </c>
      <c r="E177" s="60" t="s">
        <v>326</v>
      </c>
      <c r="F177" s="61">
        <v>2022</v>
      </c>
      <c r="G177" s="61" t="s">
        <v>348</v>
      </c>
      <c r="H177" s="62" t="s">
        <v>32</v>
      </c>
      <c r="I177" s="63" t="s">
        <v>329</v>
      </c>
      <c r="J177" s="50"/>
      <c r="K177" s="50"/>
      <c r="L177" s="50"/>
      <c r="M177" s="5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28" t="s">
        <v>357</v>
      </c>
    </row>
    <row r="178" spans="1:40" s="18" customFormat="1" ht="26.4">
      <c r="A178" s="57" t="s">
        <v>440</v>
      </c>
      <c r="B178" s="58" t="s">
        <v>328</v>
      </c>
      <c r="C178" s="58" t="s">
        <v>350</v>
      </c>
      <c r="D178" s="59">
        <v>2</v>
      </c>
      <c r="E178" s="60" t="s">
        <v>331</v>
      </c>
      <c r="F178" s="61">
        <v>2010</v>
      </c>
      <c r="G178" s="61" t="s">
        <v>348</v>
      </c>
      <c r="H178" s="62" t="s">
        <v>32</v>
      </c>
      <c r="I178" s="63" t="s">
        <v>329</v>
      </c>
      <c r="J178" s="50"/>
      <c r="K178" s="50"/>
      <c r="L178" s="50"/>
      <c r="M178" s="5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28" t="s">
        <v>363</v>
      </c>
    </row>
    <row r="179" spans="1:40" s="18" customFormat="1" ht="26.4">
      <c r="A179" s="57" t="s">
        <v>440</v>
      </c>
      <c r="B179" s="58" t="s">
        <v>328</v>
      </c>
      <c r="C179" s="58" t="s">
        <v>471</v>
      </c>
      <c r="D179" s="59">
        <v>1</v>
      </c>
      <c r="E179" s="60" t="s">
        <v>326</v>
      </c>
      <c r="F179" s="61">
        <v>2035</v>
      </c>
      <c r="G179" s="61" t="s">
        <v>348</v>
      </c>
      <c r="H179" s="62" t="s">
        <v>32</v>
      </c>
      <c r="I179" s="63" t="s">
        <v>329</v>
      </c>
      <c r="J179" s="50">
        <v>130000</v>
      </c>
      <c r="K179" s="50">
        <f>J179-L179</f>
        <v>61100</v>
      </c>
      <c r="L179" s="50">
        <f>SUM(N179:AM179)</f>
        <v>68900</v>
      </c>
      <c r="M179" s="52">
        <v>2016</v>
      </c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>
        <f>0.53*J179</f>
        <v>68900</v>
      </c>
      <c r="AK179" s="72"/>
      <c r="AL179" s="72"/>
      <c r="AM179" s="72"/>
      <c r="AN179" s="28" t="s">
        <v>472</v>
      </c>
    </row>
    <row r="180" spans="1:40" s="18" customFormat="1" ht="26.4">
      <c r="A180" s="57" t="s">
        <v>440</v>
      </c>
      <c r="B180" s="58" t="s">
        <v>328</v>
      </c>
      <c r="C180" s="58" t="s">
        <v>471</v>
      </c>
      <c r="D180" s="59">
        <v>1</v>
      </c>
      <c r="E180" s="60" t="s">
        <v>326</v>
      </c>
      <c r="F180" s="61">
        <v>2035</v>
      </c>
      <c r="G180" s="61" t="s">
        <v>348</v>
      </c>
      <c r="H180" s="62" t="s">
        <v>32</v>
      </c>
      <c r="I180" s="63" t="s">
        <v>329</v>
      </c>
      <c r="J180" s="50">
        <v>130000</v>
      </c>
      <c r="K180" s="50">
        <f>J180-L180</f>
        <v>61100</v>
      </c>
      <c r="L180" s="50">
        <f>SUM(N180:AM180)</f>
        <v>68900</v>
      </c>
      <c r="M180" s="52">
        <v>2017</v>
      </c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>
        <f>0.53*J180</f>
        <v>68900</v>
      </c>
      <c r="AK180" s="72"/>
      <c r="AL180" s="72"/>
      <c r="AM180" s="72"/>
      <c r="AN180" s="28" t="s">
        <v>472</v>
      </c>
    </row>
    <row r="181" spans="1:40" s="18" customFormat="1" ht="26.4">
      <c r="A181" s="57" t="s">
        <v>440</v>
      </c>
      <c r="B181" s="58" t="s">
        <v>328</v>
      </c>
      <c r="C181" s="58" t="s">
        <v>423</v>
      </c>
      <c r="D181" s="59">
        <v>1</v>
      </c>
      <c r="E181" s="60"/>
      <c r="F181" s="61"/>
      <c r="G181" s="61"/>
      <c r="H181" s="62"/>
      <c r="I181" s="63"/>
      <c r="J181" s="50">
        <v>130000</v>
      </c>
      <c r="K181" s="50">
        <f>J181-L181</f>
        <v>61100</v>
      </c>
      <c r="L181" s="50">
        <f>SUM(N181:AM181)</f>
        <v>68900</v>
      </c>
      <c r="M181" s="52">
        <v>2017</v>
      </c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>
        <f>0.53*J181</f>
        <v>68900</v>
      </c>
      <c r="AK181" s="72"/>
      <c r="AL181" s="72"/>
      <c r="AM181" s="72"/>
      <c r="AN181" s="28" t="s">
        <v>472</v>
      </c>
    </row>
    <row r="182" spans="1:40" s="18" customFormat="1" ht="26.4">
      <c r="A182" s="57" t="s">
        <v>440</v>
      </c>
      <c r="B182" s="58" t="s">
        <v>328</v>
      </c>
      <c r="C182" s="58" t="s">
        <v>351</v>
      </c>
      <c r="D182" s="59">
        <v>1</v>
      </c>
      <c r="E182" s="60" t="s">
        <v>326</v>
      </c>
      <c r="F182" s="61">
        <v>2022</v>
      </c>
      <c r="G182" s="61" t="s">
        <v>348</v>
      </c>
      <c r="H182" s="62" t="s">
        <v>32</v>
      </c>
      <c r="I182" s="63" t="s">
        <v>329</v>
      </c>
      <c r="J182" s="50"/>
      <c r="K182" s="50"/>
      <c r="L182" s="50"/>
      <c r="M182" s="5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28" t="s">
        <v>358</v>
      </c>
    </row>
    <row r="183" spans="1:40" s="18" customFormat="1" ht="39.6">
      <c r="A183" s="57" t="s">
        <v>440</v>
      </c>
      <c r="B183" s="58" t="s">
        <v>328</v>
      </c>
      <c r="C183" s="58" t="s">
        <v>352</v>
      </c>
      <c r="D183" s="59">
        <v>1</v>
      </c>
      <c r="E183" s="60" t="s">
        <v>326</v>
      </c>
      <c r="F183" s="61">
        <v>2040</v>
      </c>
      <c r="G183" s="61" t="s">
        <v>348</v>
      </c>
      <c r="H183" s="62">
        <v>2007</v>
      </c>
      <c r="I183" s="63" t="s">
        <v>329</v>
      </c>
      <c r="J183" s="50">
        <v>641600</v>
      </c>
      <c r="K183" s="50">
        <f>J183-L183</f>
        <v>429872</v>
      </c>
      <c r="L183" s="50">
        <f>SUM(N183:AM183)</f>
        <v>211728</v>
      </c>
      <c r="M183" s="52">
        <v>2007</v>
      </c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>
        <f>0.33*J183</f>
        <v>211728</v>
      </c>
      <c r="AK183" s="72"/>
      <c r="AL183" s="72"/>
      <c r="AM183" s="72"/>
      <c r="AN183" s="28" t="s">
        <v>499</v>
      </c>
    </row>
    <row r="184" spans="1:40" s="18" customFormat="1" ht="26.4">
      <c r="A184" s="57" t="s">
        <v>440</v>
      </c>
      <c r="B184" s="58" t="s">
        <v>328</v>
      </c>
      <c r="C184" s="58" t="s">
        <v>353</v>
      </c>
      <c r="D184" s="59">
        <v>1</v>
      </c>
      <c r="E184" s="60" t="s">
        <v>326</v>
      </c>
      <c r="F184" s="61">
        <v>2022</v>
      </c>
      <c r="G184" s="61" t="s">
        <v>348</v>
      </c>
      <c r="H184" s="62" t="s">
        <v>32</v>
      </c>
      <c r="I184" s="63" t="s">
        <v>329</v>
      </c>
      <c r="J184" s="50"/>
      <c r="K184" s="50"/>
      <c r="L184" s="50"/>
      <c r="M184" s="5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28" t="s">
        <v>361</v>
      </c>
    </row>
    <row r="185" spans="1:40" s="18" customFormat="1" ht="26.4">
      <c r="A185" s="57" t="s">
        <v>440</v>
      </c>
      <c r="B185" s="58" t="s">
        <v>328</v>
      </c>
      <c r="C185" s="58" t="s">
        <v>354</v>
      </c>
      <c r="D185" s="59">
        <v>1</v>
      </c>
      <c r="E185" s="60" t="s">
        <v>331</v>
      </c>
      <c r="F185" s="61">
        <v>2010</v>
      </c>
      <c r="G185" s="61" t="s">
        <v>348</v>
      </c>
      <c r="H185" s="62" t="s">
        <v>32</v>
      </c>
      <c r="I185" s="63" t="s">
        <v>329</v>
      </c>
      <c r="J185" s="50"/>
      <c r="K185" s="50"/>
      <c r="L185" s="50"/>
      <c r="M185" s="5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28" t="s">
        <v>362</v>
      </c>
    </row>
    <row r="186" spans="1:40" s="238" customFormat="1" ht="26.4">
      <c r="A186" s="57" t="s">
        <v>440</v>
      </c>
      <c r="B186" s="58" t="s">
        <v>328</v>
      </c>
      <c r="C186" s="58" t="s">
        <v>355</v>
      </c>
      <c r="D186" s="59">
        <v>1</v>
      </c>
      <c r="E186" s="60" t="s">
        <v>331</v>
      </c>
      <c r="F186" s="61">
        <v>2010</v>
      </c>
      <c r="G186" s="61" t="s">
        <v>348</v>
      </c>
      <c r="H186" s="62" t="s">
        <v>32</v>
      </c>
      <c r="I186" s="63" t="s">
        <v>329</v>
      </c>
      <c r="J186" s="50"/>
      <c r="K186" s="26"/>
      <c r="L186" s="26"/>
      <c r="M186" s="5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28" t="s">
        <v>359</v>
      </c>
    </row>
    <row r="187" spans="1:40" s="64" customFormat="1" ht="39.6">
      <c r="A187" s="73" t="s">
        <v>438</v>
      </c>
      <c r="B187" s="74" t="s">
        <v>28</v>
      </c>
      <c r="C187" s="74" t="s">
        <v>364</v>
      </c>
      <c r="D187" s="75">
        <v>1</v>
      </c>
      <c r="E187" s="76" t="s">
        <v>326</v>
      </c>
      <c r="F187" s="77">
        <v>2030</v>
      </c>
      <c r="G187" s="77" t="s">
        <v>365</v>
      </c>
      <c r="H187" s="78" t="s">
        <v>32</v>
      </c>
      <c r="I187" s="79" t="s">
        <v>370</v>
      </c>
      <c r="J187" s="26"/>
      <c r="K187" s="26"/>
      <c r="L187" s="26"/>
      <c r="M187" s="2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28" t="s">
        <v>369</v>
      </c>
    </row>
    <row r="188" spans="1:40" s="64" customFormat="1" ht="39.6">
      <c r="A188" s="57" t="s">
        <v>438</v>
      </c>
      <c r="B188" s="58" t="s">
        <v>28</v>
      </c>
      <c r="C188" s="58" t="s">
        <v>366</v>
      </c>
      <c r="D188" s="59">
        <v>1</v>
      </c>
      <c r="E188" s="60" t="s">
        <v>331</v>
      </c>
      <c r="F188" s="61">
        <v>2010</v>
      </c>
      <c r="G188" s="61" t="s">
        <v>348</v>
      </c>
      <c r="H188" s="62" t="s">
        <v>32</v>
      </c>
      <c r="I188" s="63" t="s">
        <v>370</v>
      </c>
      <c r="J188" s="26"/>
      <c r="K188" s="50"/>
      <c r="L188" s="50"/>
      <c r="M188" s="27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47"/>
      <c r="AK188" s="72"/>
      <c r="AL188" s="72"/>
      <c r="AM188" s="72"/>
      <c r="AN188" s="89" t="s">
        <v>368</v>
      </c>
    </row>
    <row r="189" spans="1:40" customFormat="1" ht="27" thickBot="1">
      <c r="A189" s="65" t="s">
        <v>438</v>
      </c>
      <c r="B189" s="30" t="s">
        <v>28</v>
      </c>
      <c r="C189" s="55" t="s">
        <v>367</v>
      </c>
      <c r="D189" s="55">
        <v>1</v>
      </c>
      <c r="E189" s="67" t="s">
        <v>326</v>
      </c>
      <c r="F189" s="68">
        <v>2050</v>
      </c>
      <c r="G189" s="68" t="s">
        <v>365</v>
      </c>
      <c r="H189" s="69">
        <v>2015</v>
      </c>
      <c r="I189" s="70" t="s">
        <v>370</v>
      </c>
      <c r="J189" s="36"/>
      <c r="K189" s="36"/>
      <c r="L189" s="36"/>
      <c r="M189" s="37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>
        <f>0.5*J189</f>
        <v>0</v>
      </c>
      <c r="AK189" s="38"/>
      <c r="AL189" s="38"/>
      <c r="AM189" s="38"/>
      <c r="AN189" s="71" t="s">
        <v>441</v>
      </c>
    </row>
    <row r="190" spans="1:40" s="64" customFormat="1">
      <c r="A190" s="73"/>
      <c r="B190" s="74"/>
      <c r="C190" s="74"/>
      <c r="D190" s="75"/>
      <c r="E190" s="76"/>
      <c r="F190" s="77"/>
      <c r="G190" s="77"/>
      <c r="H190" s="78"/>
      <c r="I190" s="79"/>
      <c r="J190" s="26"/>
      <c r="K190" s="26"/>
      <c r="L190" s="26"/>
      <c r="M190" s="2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28"/>
    </row>
    <row r="191" spans="1:40" s="64" customFormat="1" ht="26.4">
      <c r="A191" s="252" t="s">
        <v>465</v>
      </c>
      <c r="B191" s="58" t="s">
        <v>28</v>
      </c>
      <c r="C191" s="58" t="s">
        <v>462</v>
      </c>
      <c r="D191" s="253">
        <v>5</v>
      </c>
      <c r="E191" s="60" t="s">
        <v>331</v>
      </c>
      <c r="F191" s="61" t="s">
        <v>134</v>
      </c>
      <c r="G191" s="61"/>
      <c r="H191" s="62"/>
      <c r="I191" s="63"/>
      <c r="J191" s="50">
        <v>1666666</v>
      </c>
      <c r="K191" s="50">
        <f>J191-L191</f>
        <v>833333</v>
      </c>
      <c r="L191" s="50">
        <f>SUM(N191:AM191)</f>
        <v>833333</v>
      </c>
      <c r="M191" s="52">
        <v>2018</v>
      </c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>
        <f>0.5*J191</f>
        <v>833333</v>
      </c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244" t="s">
        <v>463</v>
      </c>
    </row>
    <row r="192" spans="1:40" s="64" customFormat="1" ht="26.4">
      <c r="A192" s="252" t="s">
        <v>465</v>
      </c>
      <c r="B192" s="58" t="s">
        <v>28</v>
      </c>
      <c r="C192" s="58" t="s">
        <v>462</v>
      </c>
      <c r="D192" s="253">
        <v>5</v>
      </c>
      <c r="E192" s="60" t="s">
        <v>331</v>
      </c>
      <c r="F192" s="61" t="s">
        <v>134</v>
      </c>
      <c r="G192" s="61"/>
      <c r="H192" s="62"/>
      <c r="I192" s="63"/>
      <c r="J192" s="50">
        <v>1666666</v>
      </c>
      <c r="K192" s="50">
        <f>J192-L192</f>
        <v>833333</v>
      </c>
      <c r="L192" s="50">
        <f>SUM(N192:AM192)</f>
        <v>833333</v>
      </c>
      <c r="M192" s="52">
        <v>2019</v>
      </c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>
        <f>0.5*J192</f>
        <v>833333</v>
      </c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28" t="s">
        <v>463</v>
      </c>
    </row>
    <row r="193" spans="1:40" s="64" customFormat="1" ht="26.4">
      <c r="A193" s="252" t="s">
        <v>526</v>
      </c>
      <c r="B193" s="58" t="s">
        <v>28</v>
      </c>
      <c r="C193" s="58" t="s">
        <v>536</v>
      </c>
      <c r="D193" s="59" t="s">
        <v>535</v>
      </c>
      <c r="E193" s="60"/>
      <c r="F193" s="61"/>
      <c r="G193" s="61"/>
      <c r="H193" s="62"/>
      <c r="I193" s="63"/>
      <c r="J193" s="50">
        <v>666667</v>
      </c>
      <c r="K193" s="50">
        <f t="shared" ref="K193:K194" si="35">J193-L193</f>
        <v>333333.5</v>
      </c>
      <c r="L193" s="50">
        <f t="shared" ref="L193:L194" si="36">SUM(N193:AM193)</f>
        <v>333333.5</v>
      </c>
      <c r="M193" s="52">
        <v>2022</v>
      </c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>
        <f t="shared" ref="Z193:Z194" si="37">J193*0.5</f>
        <v>333333.5</v>
      </c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28" t="s">
        <v>534</v>
      </c>
    </row>
    <row r="194" spans="1:40" s="64" customFormat="1" ht="26.4">
      <c r="A194" s="252" t="s">
        <v>526</v>
      </c>
      <c r="B194" s="58" t="s">
        <v>28</v>
      </c>
      <c r="C194" s="58" t="s">
        <v>536</v>
      </c>
      <c r="D194" s="59" t="s">
        <v>535</v>
      </c>
      <c r="E194" s="60"/>
      <c r="F194" s="61"/>
      <c r="G194" s="61"/>
      <c r="H194" s="62"/>
      <c r="I194" s="63"/>
      <c r="J194" s="50">
        <v>666667</v>
      </c>
      <c r="K194" s="50">
        <f t="shared" si="35"/>
        <v>333333.5</v>
      </c>
      <c r="L194" s="50">
        <f t="shared" si="36"/>
        <v>333333.5</v>
      </c>
      <c r="M194" s="52">
        <v>2023</v>
      </c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>
        <f t="shared" si="37"/>
        <v>333333.5</v>
      </c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28" t="s">
        <v>534</v>
      </c>
    </row>
    <row r="195" spans="1:40" s="64" customFormat="1" ht="26.4">
      <c r="A195" s="57" t="s">
        <v>132</v>
      </c>
      <c r="B195" s="58" t="s">
        <v>28</v>
      </c>
      <c r="C195" s="58" t="s">
        <v>133</v>
      </c>
      <c r="D195" s="59">
        <v>1</v>
      </c>
      <c r="E195" s="60" t="s">
        <v>331</v>
      </c>
      <c r="F195" s="61" t="s">
        <v>134</v>
      </c>
      <c r="G195" s="61"/>
      <c r="H195" s="62"/>
      <c r="I195" s="63"/>
      <c r="J195" s="50"/>
      <c r="K195" s="50"/>
      <c r="L195" s="50"/>
      <c r="M195" s="5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28" t="s">
        <v>135</v>
      </c>
    </row>
    <row r="196" spans="1:40" s="64" customFormat="1" ht="26.4">
      <c r="A196" s="57" t="s">
        <v>132</v>
      </c>
      <c r="B196" s="58" t="s">
        <v>28</v>
      </c>
      <c r="C196" s="58" t="s">
        <v>136</v>
      </c>
      <c r="D196" s="59">
        <v>1</v>
      </c>
      <c r="E196" s="60" t="s">
        <v>331</v>
      </c>
      <c r="F196" s="61" t="s">
        <v>134</v>
      </c>
      <c r="G196" s="61"/>
      <c r="H196" s="62"/>
      <c r="I196" s="63"/>
      <c r="J196" s="50"/>
      <c r="K196" s="50"/>
      <c r="L196" s="50"/>
      <c r="M196" s="5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28" t="s">
        <v>135</v>
      </c>
    </row>
    <row r="197" spans="1:40" s="64" customFormat="1" ht="26.4">
      <c r="A197" s="57" t="s">
        <v>132</v>
      </c>
      <c r="B197" s="58" t="s">
        <v>28</v>
      </c>
      <c r="C197" s="58" t="s">
        <v>137</v>
      </c>
      <c r="D197" s="59">
        <v>1</v>
      </c>
      <c r="E197" s="60" t="s">
        <v>331</v>
      </c>
      <c r="F197" s="61" t="s">
        <v>134</v>
      </c>
      <c r="G197" s="61"/>
      <c r="H197" s="62"/>
      <c r="I197" s="63"/>
      <c r="J197" s="50"/>
      <c r="K197" s="50"/>
      <c r="L197" s="50"/>
      <c r="M197" s="5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28" t="s">
        <v>135</v>
      </c>
    </row>
    <row r="198" spans="1:40" s="64" customFormat="1" ht="26.4">
      <c r="A198" s="57" t="s">
        <v>132</v>
      </c>
      <c r="B198" s="58" t="s">
        <v>28</v>
      </c>
      <c r="C198" s="58" t="s">
        <v>138</v>
      </c>
      <c r="D198" s="59">
        <v>1</v>
      </c>
      <c r="E198" s="60" t="s">
        <v>326</v>
      </c>
      <c r="F198" s="61"/>
      <c r="G198" s="61"/>
      <c r="H198" s="62"/>
      <c r="I198" s="63" t="s">
        <v>329</v>
      </c>
      <c r="J198" s="50"/>
      <c r="K198" s="50"/>
      <c r="L198" s="50"/>
      <c r="M198" s="5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28"/>
    </row>
    <row r="199" spans="1:40" s="64" customFormat="1" ht="26.4">
      <c r="A199" s="57" t="s">
        <v>132</v>
      </c>
      <c r="B199" s="58" t="s">
        <v>28</v>
      </c>
      <c r="C199" s="58" t="s">
        <v>139</v>
      </c>
      <c r="D199" s="59">
        <v>1</v>
      </c>
      <c r="E199" s="60" t="s">
        <v>326</v>
      </c>
      <c r="F199" s="61"/>
      <c r="G199" s="61"/>
      <c r="H199" s="62"/>
      <c r="I199" s="63" t="s">
        <v>329</v>
      </c>
      <c r="J199" s="50"/>
      <c r="K199" s="50"/>
      <c r="L199" s="50"/>
      <c r="M199" s="5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28"/>
    </row>
    <row r="200" spans="1:40" s="64" customFormat="1" ht="26.4">
      <c r="A200" s="57" t="s">
        <v>132</v>
      </c>
      <c r="B200" s="58" t="s">
        <v>28</v>
      </c>
      <c r="C200" s="58" t="s">
        <v>141</v>
      </c>
      <c r="D200" s="59">
        <v>1</v>
      </c>
      <c r="E200" s="60" t="s">
        <v>326</v>
      </c>
      <c r="F200" s="61"/>
      <c r="G200" s="61"/>
      <c r="H200" s="62"/>
      <c r="I200" s="63" t="s">
        <v>329</v>
      </c>
      <c r="J200" s="50"/>
      <c r="K200" s="50"/>
      <c r="L200" s="50"/>
      <c r="M200" s="5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28"/>
    </row>
    <row r="201" spans="1:40" s="64" customFormat="1" ht="26.4">
      <c r="A201" s="57" t="s">
        <v>132</v>
      </c>
      <c r="B201" s="58" t="s">
        <v>28</v>
      </c>
      <c r="C201" s="58" t="s">
        <v>142</v>
      </c>
      <c r="D201" s="59">
        <v>1</v>
      </c>
      <c r="E201" s="60" t="s">
        <v>326</v>
      </c>
      <c r="F201" s="61"/>
      <c r="G201" s="61"/>
      <c r="H201" s="62"/>
      <c r="I201" s="63" t="s">
        <v>329</v>
      </c>
      <c r="J201" s="50"/>
      <c r="K201" s="50"/>
      <c r="L201" s="50"/>
      <c r="M201" s="5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>
        <f>0.27*J201</f>
        <v>0</v>
      </c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28" t="s">
        <v>4</v>
      </c>
    </row>
    <row r="202" spans="1:40" s="64" customFormat="1" ht="26.4">
      <c r="A202" s="57" t="s">
        <v>132</v>
      </c>
      <c r="B202" s="58" t="s">
        <v>28</v>
      </c>
      <c r="C202" s="58" t="s">
        <v>143</v>
      </c>
      <c r="D202" s="59">
        <v>1</v>
      </c>
      <c r="E202" s="60" t="s">
        <v>326</v>
      </c>
      <c r="F202" s="61"/>
      <c r="G202" s="61"/>
      <c r="H202" s="62"/>
      <c r="I202" s="63" t="s">
        <v>329</v>
      </c>
      <c r="J202" s="50"/>
      <c r="K202" s="50"/>
      <c r="L202" s="50"/>
      <c r="M202" s="5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>
        <f>0.27*J202</f>
        <v>0</v>
      </c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28" t="s">
        <v>4</v>
      </c>
    </row>
    <row r="203" spans="1:40" s="64" customFormat="1" ht="26.4">
      <c r="A203" s="57" t="s">
        <v>132</v>
      </c>
      <c r="B203" s="58" t="s">
        <v>28</v>
      </c>
      <c r="C203" s="58" t="s">
        <v>144</v>
      </c>
      <c r="D203" s="59">
        <v>1</v>
      </c>
      <c r="E203" s="60" t="s">
        <v>331</v>
      </c>
      <c r="F203" s="61"/>
      <c r="G203" s="61"/>
      <c r="H203" s="62"/>
      <c r="I203" s="63" t="s">
        <v>329</v>
      </c>
      <c r="J203" s="50"/>
      <c r="K203" s="50"/>
      <c r="L203" s="50"/>
      <c r="M203" s="5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28"/>
    </row>
    <row r="204" spans="1:40" s="64" customFormat="1" ht="26.4">
      <c r="A204" s="57" t="s">
        <v>132</v>
      </c>
      <c r="B204" s="58" t="s">
        <v>28</v>
      </c>
      <c r="C204" s="58" t="s">
        <v>145</v>
      </c>
      <c r="D204" s="59">
        <v>1</v>
      </c>
      <c r="E204" s="60" t="s">
        <v>331</v>
      </c>
      <c r="F204" s="61"/>
      <c r="G204" s="61"/>
      <c r="H204" s="62"/>
      <c r="I204" s="63" t="s">
        <v>329</v>
      </c>
      <c r="J204" s="50"/>
      <c r="K204" s="50"/>
      <c r="L204" s="50"/>
      <c r="M204" s="5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28"/>
    </row>
    <row r="205" spans="1:40" s="64" customFormat="1" ht="26.4">
      <c r="A205" s="57" t="s">
        <v>132</v>
      </c>
      <c r="B205" s="58" t="s">
        <v>28</v>
      </c>
      <c r="C205" s="58" t="s">
        <v>146</v>
      </c>
      <c r="D205" s="59">
        <v>1</v>
      </c>
      <c r="E205" s="60" t="s">
        <v>331</v>
      </c>
      <c r="F205" s="61"/>
      <c r="G205" s="61"/>
      <c r="H205" s="62"/>
      <c r="I205" s="63" t="s">
        <v>329</v>
      </c>
      <c r="J205" s="50"/>
      <c r="K205" s="50"/>
      <c r="L205" s="50"/>
      <c r="M205" s="5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28"/>
    </row>
    <row r="206" spans="1:40" s="64" customFormat="1" ht="26.4">
      <c r="A206" s="57" t="s">
        <v>132</v>
      </c>
      <c r="B206" s="58" t="s">
        <v>28</v>
      </c>
      <c r="C206" s="58" t="s">
        <v>147</v>
      </c>
      <c r="D206" s="59">
        <v>1</v>
      </c>
      <c r="E206" s="60" t="s">
        <v>331</v>
      </c>
      <c r="F206" s="61"/>
      <c r="G206" s="61"/>
      <c r="H206" s="62"/>
      <c r="I206" s="63" t="s">
        <v>329</v>
      </c>
      <c r="J206" s="50"/>
      <c r="K206" s="50"/>
      <c r="L206" s="50"/>
      <c r="M206" s="5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28"/>
    </row>
    <row r="207" spans="1:40" s="64" customFormat="1" ht="26.4">
      <c r="A207" s="57" t="s">
        <v>132</v>
      </c>
      <c r="B207" s="58" t="s">
        <v>28</v>
      </c>
      <c r="C207" s="58" t="s">
        <v>148</v>
      </c>
      <c r="D207" s="59">
        <v>1</v>
      </c>
      <c r="E207" s="60" t="s">
        <v>331</v>
      </c>
      <c r="F207" s="61"/>
      <c r="G207" s="61"/>
      <c r="H207" s="62"/>
      <c r="I207" s="63" t="s">
        <v>329</v>
      </c>
      <c r="J207" s="50"/>
      <c r="K207" s="50"/>
      <c r="L207" s="50"/>
      <c r="M207" s="5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28"/>
    </row>
    <row r="208" spans="1:40" s="64" customFormat="1" ht="26.4">
      <c r="A208" s="57" t="s">
        <v>132</v>
      </c>
      <c r="B208" s="58" t="s">
        <v>28</v>
      </c>
      <c r="C208" s="58" t="s">
        <v>149</v>
      </c>
      <c r="D208" s="59">
        <v>1</v>
      </c>
      <c r="E208" s="60" t="s">
        <v>331</v>
      </c>
      <c r="F208" s="61"/>
      <c r="G208" s="61"/>
      <c r="H208" s="62"/>
      <c r="I208" s="63" t="s">
        <v>329</v>
      </c>
      <c r="J208" s="50"/>
      <c r="K208" s="50"/>
      <c r="L208" s="50"/>
      <c r="M208" s="5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>
        <f>0.27*J208</f>
        <v>0</v>
      </c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28"/>
    </row>
    <row r="209" spans="1:40" s="64" customFormat="1" ht="26.4">
      <c r="A209" s="57" t="s">
        <v>132</v>
      </c>
      <c r="B209" s="58" t="s">
        <v>28</v>
      </c>
      <c r="C209" s="58" t="s">
        <v>150</v>
      </c>
      <c r="D209" s="59">
        <v>1</v>
      </c>
      <c r="E209" s="60" t="s">
        <v>331</v>
      </c>
      <c r="F209" s="61"/>
      <c r="G209" s="61"/>
      <c r="H209" s="62"/>
      <c r="I209" s="63" t="s">
        <v>329</v>
      </c>
      <c r="J209" s="50"/>
      <c r="K209" s="50"/>
      <c r="L209" s="50"/>
      <c r="M209" s="5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28"/>
    </row>
    <row r="210" spans="1:40" s="64" customFormat="1" ht="26.4">
      <c r="A210" s="57" t="s">
        <v>132</v>
      </c>
      <c r="B210" s="58" t="s">
        <v>28</v>
      </c>
      <c r="C210" s="58" t="s">
        <v>151</v>
      </c>
      <c r="D210" s="59">
        <v>1</v>
      </c>
      <c r="E210" s="60" t="s">
        <v>331</v>
      </c>
      <c r="F210" s="61"/>
      <c r="G210" s="61"/>
      <c r="H210" s="62"/>
      <c r="I210" s="63" t="s">
        <v>329</v>
      </c>
      <c r="J210" s="50"/>
      <c r="K210" s="50"/>
      <c r="L210" s="50"/>
      <c r="M210" s="5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28"/>
    </row>
    <row r="211" spans="1:40" s="64" customFormat="1" ht="26.4">
      <c r="A211" s="57" t="s">
        <v>132</v>
      </c>
      <c r="B211" s="58" t="s">
        <v>28</v>
      </c>
      <c r="C211" s="58" t="s">
        <v>152</v>
      </c>
      <c r="D211" s="59">
        <v>1</v>
      </c>
      <c r="E211" s="60" t="s">
        <v>331</v>
      </c>
      <c r="F211" s="61"/>
      <c r="G211" s="61"/>
      <c r="H211" s="62"/>
      <c r="I211" s="63" t="s">
        <v>329</v>
      </c>
      <c r="J211" s="50"/>
      <c r="K211" s="50"/>
      <c r="L211" s="50"/>
      <c r="M211" s="5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28"/>
    </row>
    <row r="212" spans="1:40" s="64" customFormat="1" ht="26.4">
      <c r="A212" s="57" t="s">
        <v>132</v>
      </c>
      <c r="B212" s="58" t="s">
        <v>28</v>
      </c>
      <c r="C212" s="58" t="s">
        <v>153</v>
      </c>
      <c r="D212" s="59">
        <v>1</v>
      </c>
      <c r="E212" s="60" t="s">
        <v>331</v>
      </c>
      <c r="F212" s="61"/>
      <c r="G212" s="61"/>
      <c r="H212" s="62"/>
      <c r="I212" s="63" t="s">
        <v>329</v>
      </c>
      <c r="J212" s="50"/>
      <c r="K212" s="50"/>
      <c r="L212" s="50"/>
      <c r="M212" s="5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28"/>
    </row>
    <row r="213" spans="1:40" s="64" customFormat="1" ht="26.4">
      <c r="A213" s="57" t="s">
        <v>132</v>
      </c>
      <c r="B213" s="58" t="s">
        <v>328</v>
      </c>
      <c r="C213" s="58" t="s">
        <v>154</v>
      </c>
      <c r="D213" s="59">
        <v>1</v>
      </c>
      <c r="E213" s="60" t="s">
        <v>326</v>
      </c>
      <c r="F213" s="61">
        <v>2024</v>
      </c>
      <c r="G213" s="61"/>
      <c r="H213" s="62"/>
      <c r="I213" s="63" t="s">
        <v>331</v>
      </c>
      <c r="J213" s="50"/>
      <c r="K213" s="50"/>
      <c r="L213" s="50"/>
      <c r="M213" s="5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28"/>
    </row>
    <row r="214" spans="1:40" s="64" customFormat="1" ht="26.4">
      <c r="A214" s="57" t="s">
        <v>132</v>
      </c>
      <c r="B214" s="58" t="s">
        <v>328</v>
      </c>
      <c r="C214" s="58" t="s">
        <v>155</v>
      </c>
      <c r="D214" s="59">
        <v>1</v>
      </c>
      <c r="E214" s="60" t="s">
        <v>326</v>
      </c>
      <c r="F214" s="61">
        <v>2024</v>
      </c>
      <c r="G214" s="61"/>
      <c r="H214" s="62"/>
      <c r="I214" s="63" t="s">
        <v>331</v>
      </c>
      <c r="J214" s="50"/>
      <c r="K214" s="50"/>
      <c r="L214" s="50"/>
      <c r="M214" s="5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28"/>
    </row>
    <row r="215" spans="1:40" s="64" customFormat="1" ht="26.4">
      <c r="A215" s="57" t="s">
        <v>132</v>
      </c>
      <c r="B215" s="58" t="s">
        <v>328</v>
      </c>
      <c r="C215" s="58" t="s">
        <v>156</v>
      </c>
      <c r="D215" s="59">
        <v>1</v>
      </c>
      <c r="E215" s="60" t="s">
        <v>326</v>
      </c>
      <c r="F215" s="61">
        <v>2024</v>
      </c>
      <c r="G215" s="61"/>
      <c r="H215" s="62"/>
      <c r="I215" s="63" t="s">
        <v>331</v>
      </c>
      <c r="J215" s="50"/>
      <c r="K215" s="50"/>
      <c r="L215" s="50"/>
      <c r="M215" s="5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28"/>
    </row>
    <row r="216" spans="1:40" s="64" customFormat="1" ht="26.4">
      <c r="A216" s="57" t="s">
        <v>132</v>
      </c>
      <c r="B216" s="58" t="s">
        <v>328</v>
      </c>
      <c r="C216" s="58" t="s">
        <v>157</v>
      </c>
      <c r="D216" s="59">
        <v>1</v>
      </c>
      <c r="E216" s="60" t="s">
        <v>326</v>
      </c>
      <c r="F216" s="61"/>
      <c r="G216" s="61"/>
      <c r="H216" s="62"/>
      <c r="I216" s="63" t="s">
        <v>331</v>
      </c>
      <c r="J216" s="50"/>
      <c r="K216" s="50"/>
      <c r="L216" s="50"/>
      <c r="M216" s="5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28"/>
    </row>
    <row r="217" spans="1:40" s="64" customFormat="1" ht="26.4">
      <c r="A217" s="57" t="s">
        <v>132</v>
      </c>
      <c r="B217" s="58" t="s">
        <v>328</v>
      </c>
      <c r="C217" s="58" t="s">
        <v>158</v>
      </c>
      <c r="D217" s="59">
        <v>1</v>
      </c>
      <c r="E217" s="60" t="s">
        <v>326</v>
      </c>
      <c r="F217" s="61"/>
      <c r="G217" s="61"/>
      <c r="H217" s="62"/>
      <c r="I217" s="63" t="s">
        <v>331</v>
      </c>
      <c r="J217" s="50"/>
      <c r="K217" s="50"/>
      <c r="L217" s="50"/>
      <c r="M217" s="5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28"/>
    </row>
    <row r="218" spans="1:40" s="64" customFormat="1" ht="26.4">
      <c r="A218" s="57" t="s">
        <v>132</v>
      </c>
      <c r="B218" s="58" t="s">
        <v>328</v>
      </c>
      <c r="C218" s="58" t="s">
        <v>159</v>
      </c>
      <c r="D218" s="59">
        <v>1</v>
      </c>
      <c r="E218" s="60" t="s">
        <v>326</v>
      </c>
      <c r="F218" s="61"/>
      <c r="G218" s="61"/>
      <c r="H218" s="62"/>
      <c r="I218" s="63" t="s">
        <v>331</v>
      </c>
      <c r="J218" s="50"/>
      <c r="K218" s="50"/>
      <c r="L218" s="50"/>
      <c r="M218" s="5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28"/>
    </row>
    <row r="219" spans="1:40" s="64" customFormat="1" ht="26.4">
      <c r="A219" s="57" t="s">
        <v>132</v>
      </c>
      <c r="B219" s="58" t="s">
        <v>328</v>
      </c>
      <c r="C219" s="58" t="s">
        <v>160</v>
      </c>
      <c r="D219" s="59">
        <v>1</v>
      </c>
      <c r="E219" s="60" t="s">
        <v>331</v>
      </c>
      <c r="F219" s="61"/>
      <c r="G219" s="61"/>
      <c r="H219" s="62"/>
      <c r="I219" s="63"/>
      <c r="J219" s="50"/>
      <c r="K219" s="50"/>
      <c r="L219" s="50"/>
      <c r="M219" s="5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28"/>
    </row>
    <row r="220" spans="1:40" s="64" customFormat="1" ht="26.4">
      <c r="A220" s="57" t="s">
        <v>132</v>
      </c>
      <c r="B220" s="58" t="s">
        <v>328</v>
      </c>
      <c r="C220" s="58" t="s">
        <v>161</v>
      </c>
      <c r="D220" s="59">
        <v>1</v>
      </c>
      <c r="E220" s="60" t="s">
        <v>331</v>
      </c>
      <c r="F220" s="61"/>
      <c r="G220" s="61"/>
      <c r="H220" s="62"/>
      <c r="I220" s="63"/>
      <c r="J220" s="50"/>
      <c r="K220" s="50"/>
      <c r="L220" s="50"/>
      <c r="M220" s="5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28"/>
    </row>
    <row r="221" spans="1:40" s="64" customFormat="1" ht="27" thickBot="1">
      <c r="A221" s="65" t="s">
        <v>132</v>
      </c>
      <c r="B221" s="30" t="s">
        <v>328</v>
      </c>
      <c r="C221" s="30" t="s">
        <v>162</v>
      </c>
      <c r="D221" s="66">
        <v>1</v>
      </c>
      <c r="E221" s="67" t="s">
        <v>331</v>
      </c>
      <c r="F221" s="68"/>
      <c r="G221" s="68"/>
      <c r="H221" s="69"/>
      <c r="I221" s="70"/>
      <c r="J221" s="36"/>
      <c r="K221" s="36"/>
      <c r="L221" s="36"/>
      <c r="M221" s="37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71"/>
    </row>
    <row r="222" spans="1:40" s="64" customFormat="1">
      <c r="A222" s="95"/>
      <c r="B222" s="96"/>
      <c r="C222" s="96"/>
      <c r="D222" s="97"/>
      <c r="E222" s="98"/>
      <c r="F222" s="99"/>
      <c r="G222" s="99"/>
      <c r="H222" s="100"/>
      <c r="I222" s="79"/>
      <c r="J222" s="51"/>
      <c r="K222" s="51"/>
      <c r="L222" s="117"/>
      <c r="M222" s="102"/>
      <c r="N222" s="254"/>
      <c r="O222" s="254"/>
      <c r="P222" s="254"/>
      <c r="Q222" s="255"/>
      <c r="R222" s="254"/>
      <c r="S222" s="256"/>
      <c r="T222" s="254"/>
      <c r="U222" s="254"/>
      <c r="V222" s="254"/>
      <c r="W222" s="254"/>
      <c r="X222" s="254"/>
      <c r="Y222" s="254"/>
      <c r="Z222" s="254"/>
      <c r="AA222" s="254"/>
      <c r="AB222" s="254"/>
      <c r="AC222" s="254"/>
      <c r="AD222" s="254"/>
      <c r="AE222" s="254"/>
      <c r="AF222" s="254"/>
      <c r="AG222" s="254"/>
      <c r="AH222" s="254"/>
      <c r="AI222" s="254"/>
      <c r="AJ222" s="254"/>
      <c r="AK222" s="254"/>
      <c r="AL222" s="254"/>
      <c r="AM222" s="254"/>
      <c r="AN222" s="103"/>
    </row>
    <row r="223" spans="1:40" s="64" customFormat="1" ht="27" thickBot="1">
      <c r="A223" s="257" t="s">
        <v>173</v>
      </c>
      <c r="B223" s="258" t="s">
        <v>328</v>
      </c>
      <c r="C223" s="258" t="s">
        <v>466</v>
      </c>
      <c r="D223" s="259"/>
      <c r="E223" s="260"/>
      <c r="F223" s="261"/>
      <c r="G223" s="261"/>
      <c r="H223" s="262"/>
      <c r="I223" s="70"/>
      <c r="J223" s="36"/>
      <c r="K223" s="36"/>
      <c r="L223" s="36"/>
      <c r="M223" s="37"/>
      <c r="N223" s="263"/>
      <c r="O223" s="263"/>
      <c r="P223" s="263"/>
      <c r="Q223" s="263"/>
      <c r="R223" s="263">
        <f>J223*0.6</f>
        <v>0</v>
      </c>
      <c r="S223" s="263"/>
      <c r="T223" s="263"/>
      <c r="U223" s="263"/>
      <c r="V223" s="263"/>
      <c r="W223" s="263"/>
      <c r="X223" s="263"/>
      <c r="Y223" s="263"/>
      <c r="Z223" s="263"/>
      <c r="AA223" s="263"/>
      <c r="AB223" s="263"/>
      <c r="AC223" s="263"/>
      <c r="AD223" s="263"/>
      <c r="AE223" s="263"/>
      <c r="AF223" s="263"/>
      <c r="AG223" s="263"/>
      <c r="AH223" s="263"/>
      <c r="AI223" s="263"/>
      <c r="AJ223" s="263"/>
      <c r="AK223" s="263"/>
      <c r="AL223" s="263"/>
      <c r="AM223" s="263"/>
      <c r="AN223" s="71" t="s">
        <v>467</v>
      </c>
    </row>
    <row r="224" spans="1:40" s="64" customFormat="1">
      <c r="A224" s="73"/>
      <c r="B224" s="74"/>
      <c r="C224" s="74"/>
      <c r="D224" s="75"/>
      <c r="E224" s="76"/>
      <c r="F224" s="77"/>
      <c r="G224" s="77"/>
      <c r="H224" s="78"/>
      <c r="I224" s="79"/>
      <c r="J224" s="26"/>
      <c r="K224" s="26"/>
      <c r="L224" s="114"/>
      <c r="M224" s="27"/>
      <c r="N224" s="47"/>
      <c r="O224" s="47"/>
      <c r="P224" s="47"/>
      <c r="Q224" s="115"/>
      <c r="R224" s="47"/>
      <c r="S224" s="116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28"/>
    </row>
    <row r="225" spans="1:40" s="64" customFormat="1" ht="52.8">
      <c r="A225" s="80" t="s">
        <v>163</v>
      </c>
      <c r="B225" s="58" t="s">
        <v>328</v>
      </c>
      <c r="C225" s="81" t="s">
        <v>164</v>
      </c>
      <c r="D225" s="82">
        <v>4</v>
      </c>
      <c r="E225" s="60" t="s">
        <v>326</v>
      </c>
      <c r="F225" s="61" t="s">
        <v>344</v>
      </c>
      <c r="G225" s="61" t="s">
        <v>345</v>
      </c>
      <c r="H225" s="62">
        <v>2004</v>
      </c>
      <c r="I225" s="63" t="s">
        <v>370</v>
      </c>
      <c r="J225" s="50"/>
      <c r="K225" s="50"/>
      <c r="L225" s="50"/>
      <c r="M225" s="52"/>
      <c r="N225" s="72"/>
      <c r="O225" s="72"/>
      <c r="P225" s="72"/>
      <c r="Q225" s="72">
        <f>0.24*J225</f>
        <v>0</v>
      </c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89" t="s">
        <v>489</v>
      </c>
    </row>
    <row r="226" spans="1:40" s="64" customFormat="1" ht="39.6">
      <c r="A226" s="80" t="s">
        <v>163</v>
      </c>
      <c r="B226" s="58" t="s">
        <v>328</v>
      </c>
      <c r="C226" s="81" t="s">
        <v>168</v>
      </c>
      <c r="D226" s="82">
        <v>4</v>
      </c>
      <c r="E226" s="60" t="s">
        <v>326</v>
      </c>
      <c r="F226" s="61" t="s">
        <v>344</v>
      </c>
      <c r="G226" s="61" t="s">
        <v>345</v>
      </c>
      <c r="H226" s="62"/>
      <c r="I226" s="63" t="s">
        <v>370</v>
      </c>
      <c r="J226" s="50"/>
      <c r="K226" s="50"/>
      <c r="L226" s="50"/>
      <c r="M226" s="5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89" t="s">
        <v>169</v>
      </c>
    </row>
    <row r="227" spans="1:40" s="64" customFormat="1" ht="52.8">
      <c r="A227" s="80" t="s">
        <v>163</v>
      </c>
      <c r="B227" s="58" t="s">
        <v>328</v>
      </c>
      <c r="C227" s="81" t="s">
        <v>170</v>
      </c>
      <c r="D227" s="82">
        <v>3</v>
      </c>
      <c r="E227" s="60" t="s">
        <v>326</v>
      </c>
      <c r="F227" s="61" t="s">
        <v>344</v>
      </c>
      <c r="G227" s="61" t="s">
        <v>345</v>
      </c>
      <c r="H227" s="62" t="s">
        <v>346</v>
      </c>
      <c r="I227" s="63" t="s">
        <v>370</v>
      </c>
      <c r="J227" s="50"/>
      <c r="K227" s="50"/>
      <c r="L227" s="50"/>
      <c r="M227" s="52"/>
      <c r="N227" s="72"/>
      <c r="O227" s="72"/>
      <c r="P227" s="72"/>
      <c r="Q227" s="72">
        <f>0.24*J227</f>
        <v>0</v>
      </c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89" t="s">
        <v>490</v>
      </c>
    </row>
    <row r="228" spans="1:40" s="64" customFormat="1" ht="53.4" thickBot="1">
      <c r="A228" s="83" t="s">
        <v>163</v>
      </c>
      <c r="B228" s="30" t="s">
        <v>328</v>
      </c>
      <c r="C228" s="84" t="s">
        <v>171</v>
      </c>
      <c r="D228" s="85">
        <v>19</v>
      </c>
      <c r="E228" s="67" t="s">
        <v>326</v>
      </c>
      <c r="F228" s="68" t="s">
        <v>344</v>
      </c>
      <c r="G228" s="68" t="s">
        <v>345</v>
      </c>
      <c r="H228" s="69"/>
      <c r="I228" s="70" t="s">
        <v>370</v>
      </c>
      <c r="J228" s="36"/>
      <c r="K228" s="36"/>
      <c r="L228" s="36"/>
      <c r="M228" s="37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71" t="s">
        <v>172</v>
      </c>
    </row>
    <row r="229" spans="1:40" s="64" customFormat="1">
      <c r="A229" s="73"/>
      <c r="B229" s="74"/>
      <c r="C229" s="74"/>
      <c r="D229" s="75"/>
      <c r="E229" s="76"/>
      <c r="F229" s="77"/>
      <c r="G229" s="77"/>
      <c r="H229" s="78"/>
      <c r="I229" s="79"/>
      <c r="J229" s="118"/>
      <c r="K229" s="118"/>
      <c r="L229" s="118"/>
      <c r="M229" s="119"/>
      <c r="N229" s="212"/>
      <c r="O229" s="212"/>
      <c r="P229" s="212"/>
      <c r="Q229" s="212"/>
      <c r="R229" s="212"/>
      <c r="S229" s="212"/>
      <c r="T229" s="212"/>
      <c r="U229" s="212"/>
      <c r="V229" s="212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8"/>
    </row>
    <row r="230" spans="1:40" s="64" customFormat="1" ht="26.4">
      <c r="A230" s="57" t="s">
        <v>174</v>
      </c>
      <c r="B230" s="58" t="s">
        <v>328</v>
      </c>
      <c r="C230" s="58" t="s">
        <v>175</v>
      </c>
      <c r="D230" s="59">
        <v>5</v>
      </c>
      <c r="E230" s="60" t="s">
        <v>326</v>
      </c>
      <c r="F230" s="61">
        <v>2007</v>
      </c>
      <c r="G230" s="61"/>
      <c r="H230" s="62"/>
      <c r="I230" s="63" t="s">
        <v>329</v>
      </c>
      <c r="J230" s="108"/>
      <c r="K230" s="108"/>
      <c r="L230" s="108"/>
      <c r="M230" s="109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89"/>
    </row>
    <row r="231" spans="1:40" s="64" customFormat="1" ht="26.4">
      <c r="A231" s="57" t="s">
        <v>174</v>
      </c>
      <c r="B231" s="58" t="s">
        <v>328</v>
      </c>
      <c r="C231" s="58" t="s">
        <v>176</v>
      </c>
      <c r="D231" s="59">
        <v>12</v>
      </c>
      <c r="E231" s="60" t="s">
        <v>326</v>
      </c>
      <c r="F231" s="61">
        <v>2020</v>
      </c>
      <c r="G231" s="61" t="s">
        <v>177</v>
      </c>
      <c r="H231" s="62"/>
      <c r="I231" s="63" t="s">
        <v>329</v>
      </c>
      <c r="J231" s="108"/>
      <c r="K231" s="108"/>
      <c r="L231" s="108"/>
      <c r="M231" s="109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89"/>
    </row>
    <row r="232" spans="1:40" s="64" customFormat="1" ht="39.6">
      <c r="A232" s="57" t="s">
        <v>174</v>
      </c>
      <c r="B232" s="58" t="s">
        <v>328</v>
      </c>
      <c r="C232" s="58" t="s">
        <v>178</v>
      </c>
      <c r="D232" s="59">
        <v>9</v>
      </c>
      <c r="E232" s="60" t="s">
        <v>326</v>
      </c>
      <c r="F232" s="61">
        <v>2020</v>
      </c>
      <c r="G232" s="61" t="s">
        <v>177</v>
      </c>
      <c r="H232" s="62" t="s">
        <v>177</v>
      </c>
      <c r="I232" s="63" t="s">
        <v>329</v>
      </c>
      <c r="J232" s="108"/>
      <c r="K232" s="108"/>
      <c r="L232" s="108"/>
      <c r="M232" s="109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89" t="s">
        <v>180</v>
      </c>
    </row>
    <row r="233" spans="1:40" s="64" customFormat="1" ht="39.6">
      <c r="A233" s="57" t="s">
        <v>174</v>
      </c>
      <c r="B233" s="58" t="s">
        <v>328</v>
      </c>
      <c r="C233" s="58" t="s">
        <v>181</v>
      </c>
      <c r="D233" s="59">
        <v>1</v>
      </c>
      <c r="E233" s="60" t="s">
        <v>326</v>
      </c>
      <c r="F233" s="61">
        <v>2020</v>
      </c>
      <c r="G233" s="61" t="s">
        <v>177</v>
      </c>
      <c r="H233" s="62" t="s">
        <v>177</v>
      </c>
      <c r="I233" s="63" t="s">
        <v>329</v>
      </c>
      <c r="J233" s="108"/>
      <c r="K233" s="108"/>
      <c r="L233" s="108"/>
      <c r="M233" s="109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89" t="s">
        <v>180</v>
      </c>
    </row>
    <row r="234" spans="1:40" ht="26.4">
      <c r="A234" s="57" t="s">
        <v>174</v>
      </c>
      <c r="B234" s="58" t="s">
        <v>328</v>
      </c>
      <c r="C234" s="58" t="s">
        <v>182</v>
      </c>
      <c r="D234" s="59">
        <v>5</v>
      </c>
      <c r="E234" s="60" t="s">
        <v>326</v>
      </c>
      <c r="F234" s="61">
        <v>2007</v>
      </c>
      <c r="G234" s="61"/>
      <c r="H234" s="62"/>
      <c r="I234" s="63" t="s">
        <v>329</v>
      </c>
      <c r="J234" s="108"/>
      <c r="K234" s="108"/>
      <c r="L234" s="108"/>
      <c r="M234" s="109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89"/>
    </row>
    <row r="235" spans="1:40" ht="26.4">
      <c r="A235" s="57" t="s">
        <v>174</v>
      </c>
      <c r="B235" s="58" t="s">
        <v>328</v>
      </c>
      <c r="C235" s="58" t="s">
        <v>183</v>
      </c>
      <c r="D235" s="59">
        <v>7</v>
      </c>
      <c r="E235" s="60" t="s">
        <v>326</v>
      </c>
      <c r="F235" s="61">
        <v>2032</v>
      </c>
      <c r="G235" s="61" t="s">
        <v>184</v>
      </c>
      <c r="H235" s="62"/>
      <c r="I235" s="63" t="s">
        <v>329</v>
      </c>
      <c r="J235" s="108"/>
      <c r="K235" s="108"/>
      <c r="L235" s="108"/>
      <c r="M235" s="109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10"/>
      <c r="AN235" s="89"/>
    </row>
    <row r="236" spans="1:40" ht="27" thickBot="1">
      <c r="A236" s="65" t="s">
        <v>174</v>
      </c>
      <c r="B236" s="30" t="s">
        <v>328</v>
      </c>
      <c r="C236" s="30" t="s">
        <v>185</v>
      </c>
      <c r="D236" s="66">
        <v>8</v>
      </c>
      <c r="E236" s="67" t="s">
        <v>326</v>
      </c>
      <c r="F236" s="68"/>
      <c r="G236" s="68"/>
      <c r="H236" s="69"/>
      <c r="I236" s="70" t="s">
        <v>329</v>
      </c>
      <c r="J236" s="120"/>
      <c r="K236" s="120"/>
      <c r="L236" s="120"/>
      <c r="M236" s="121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71" t="s">
        <v>186</v>
      </c>
    </row>
    <row r="237" spans="1:40">
      <c r="A237" s="57"/>
      <c r="B237" s="58"/>
      <c r="C237" s="58"/>
      <c r="D237" s="59"/>
      <c r="E237" s="60"/>
      <c r="F237" s="61"/>
      <c r="G237" s="61"/>
      <c r="H237" s="62"/>
      <c r="I237" s="63"/>
      <c r="J237" s="108"/>
      <c r="K237" s="108"/>
      <c r="L237" s="108"/>
      <c r="M237" s="109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89"/>
    </row>
    <row r="238" spans="1:40" ht="26.4">
      <c r="A238" s="57" t="s">
        <v>233</v>
      </c>
      <c r="B238" s="58" t="s">
        <v>328</v>
      </c>
      <c r="C238" s="58" t="s">
        <v>453</v>
      </c>
      <c r="D238" s="59">
        <v>3</v>
      </c>
      <c r="E238" s="60" t="s">
        <v>326</v>
      </c>
      <c r="F238" s="61" t="s">
        <v>219</v>
      </c>
      <c r="G238" s="61" t="s">
        <v>220</v>
      </c>
      <c r="H238" s="62" t="s">
        <v>346</v>
      </c>
      <c r="I238" s="63" t="s">
        <v>370</v>
      </c>
      <c r="J238" s="50"/>
      <c r="K238" s="50"/>
      <c r="L238" s="50"/>
      <c r="M238" s="52"/>
      <c r="N238" s="245"/>
      <c r="O238" s="245"/>
      <c r="P238" s="245"/>
      <c r="Q238" s="245"/>
      <c r="R238" s="245"/>
      <c r="S238" s="245"/>
      <c r="T238" s="245"/>
      <c r="U238" s="245"/>
      <c r="V238" s="245"/>
      <c r="W238" s="245"/>
      <c r="X238" s="245"/>
      <c r="Y238" s="245"/>
      <c r="Z238" s="245"/>
      <c r="AA238" s="245"/>
      <c r="AB238" s="245"/>
      <c r="AC238" s="245"/>
      <c r="AD238" s="245"/>
      <c r="AE238" s="245"/>
      <c r="AF238" s="245"/>
      <c r="AG238" s="245"/>
      <c r="AH238" s="245"/>
      <c r="AI238" s="245"/>
      <c r="AJ238" s="245"/>
      <c r="AK238" s="245"/>
      <c r="AL238" s="245"/>
      <c r="AM238" s="245"/>
      <c r="AN238" s="28" t="s">
        <v>454</v>
      </c>
    </row>
    <row r="239" spans="1:40" ht="26.4">
      <c r="A239" s="57" t="s">
        <v>234</v>
      </c>
      <c r="B239" s="58" t="s">
        <v>328</v>
      </c>
      <c r="C239" s="58" t="s">
        <v>212</v>
      </c>
      <c r="D239" s="59">
        <v>8</v>
      </c>
      <c r="E239" s="60" t="s">
        <v>326</v>
      </c>
      <c r="F239" s="61" t="s">
        <v>221</v>
      </c>
      <c r="G239" s="61" t="s">
        <v>222</v>
      </c>
      <c r="H239" s="62" t="s">
        <v>346</v>
      </c>
      <c r="I239" s="63" t="s">
        <v>370</v>
      </c>
      <c r="J239" s="50"/>
      <c r="K239" s="50"/>
      <c r="L239" s="50"/>
      <c r="M239" s="52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  <c r="AC239" s="245"/>
      <c r="AD239" s="245"/>
      <c r="AE239" s="245"/>
      <c r="AF239" s="245"/>
      <c r="AG239" s="245"/>
      <c r="AH239" s="245"/>
      <c r="AI239" s="245"/>
      <c r="AJ239" s="245"/>
      <c r="AK239" s="245"/>
      <c r="AL239" s="245"/>
      <c r="AM239" s="245"/>
      <c r="AN239" s="28" t="s">
        <v>227</v>
      </c>
    </row>
    <row r="240" spans="1:40" ht="26.4">
      <c r="A240" s="57" t="s">
        <v>234</v>
      </c>
      <c r="B240" s="58" t="s">
        <v>328</v>
      </c>
      <c r="C240" s="58" t="s">
        <v>213</v>
      </c>
      <c r="D240" s="59">
        <v>10</v>
      </c>
      <c r="E240" s="60" t="s">
        <v>326</v>
      </c>
      <c r="F240" s="61" t="s">
        <v>223</v>
      </c>
      <c r="G240" s="61" t="s">
        <v>346</v>
      </c>
      <c r="H240" s="62" t="s">
        <v>134</v>
      </c>
      <c r="I240" s="63" t="s">
        <v>329</v>
      </c>
      <c r="J240" s="50"/>
      <c r="K240" s="50"/>
      <c r="L240" s="50"/>
      <c r="M240" s="52"/>
      <c r="N240" s="245"/>
      <c r="O240" s="245"/>
      <c r="P240" s="245"/>
      <c r="Q240" s="245"/>
      <c r="R240" s="245"/>
      <c r="S240" s="245"/>
      <c r="T240" s="245"/>
      <c r="U240" s="245"/>
      <c r="V240" s="245"/>
      <c r="W240" s="245"/>
      <c r="X240" s="245"/>
      <c r="Y240" s="245"/>
      <c r="Z240" s="245"/>
      <c r="AA240" s="245"/>
      <c r="AB240" s="245"/>
      <c r="AC240" s="245"/>
      <c r="AD240" s="245"/>
      <c r="AE240" s="245"/>
      <c r="AF240" s="245"/>
      <c r="AG240" s="245"/>
      <c r="AH240" s="245"/>
      <c r="AI240" s="245"/>
      <c r="AJ240" s="245"/>
      <c r="AK240" s="245"/>
      <c r="AL240" s="245"/>
      <c r="AM240" s="245"/>
      <c r="AN240" s="28" t="s">
        <v>231</v>
      </c>
    </row>
    <row r="241" spans="1:40" ht="26.4">
      <c r="A241" s="57" t="s">
        <v>233</v>
      </c>
      <c r="B241" s="58" t="s">
        <v>328</v>
      </c>
      <c r="C241" s="58" t="s">
        <v>455</v>
      </c>
      <c r="D241" s="59">
        <v>3</v>
      </c>
      <c r="E241" s="60" t="s">
        <v>326</v>
      </c>
      <c r="F241" s="61" t="s">
        <v>223</v>
      </c>
      <c r="G241" s="61" t="s">
        <v>346</v>
      </c>
      <c r="H241" s="62">
        <v>2006</v>
      </c>
      <c r="I241" s="63" t="s">
        <v>370</v>
      </c>
      <c r="J241" s="50"/>
      <c r="K241" s="50"/>
      <c r="L241" s="50"/>
      <c r="M241" s="52"/>
      <c r="N241" s="245"/>
      <c r="O241" s="245"/>
      <c r="P241" s="245"/>
      <c r="Q241" s="245"/>
      <c r="R241" s="245"/>
      <c r="S241" s="245"/>
      <c r="T241" s="245"/>
      <c r="U241" s="245"/>
      <c r="V241" s="245"/>
      <c r="W241" s="245"/>
      <c r="X241" s="245"/>
      <c r="Y241" s="245"/>
      <c r="Z241" s="245"/>
      <c r="AA241" s="245"/>
      <c r="AB241" s="245"/>
      <c r="AC241" s="245"/>
      <c r="AD241" s="245"/>
      <c r="AE241" s="245"/>
      <c r="AF241" s="245"/>
      <c r="AG241" s="245"/>
      <c r="AH241" s="245"/>
      <c r="AI241" s="245"/>
      <c r="AJ241" s="245"/>
      <c r="AK241" s="245"/>
      <c r="AL241" s="245"/>
      <c r="AM241" s="245"/>
      <c r="AN241" s="28" t="s">
        <v>232</v>
      </c>
    </row>
    <row r="242" spans="1:40" ht="26.4">
      <c r="A242" s="57" t="s">
        <v>234</v>
      </c>
      <c r="B242" s="58" t="s">
        <v>328</v>
      </c>
      <c r="C242" s="58" t="s">
        <v>214</v>
      </c>
      <c r="D242" s="59">
        <v>5</v>
      </c>
      <c r="E242" s="60" t="s">
        <v>326</v>
      </c>
      <c r="F242" s="61" t="s">
        <v>218</v>
      </c>
      <c r="G242" s="61" t="s">
        <v>346</v>
      </c>
      <c r="H242" s="62" t="s">
        <v>346</v>
      </c>
      <c r="I242" s="63" t="s">
        <v>329</v>
      </c>
      <c r="J242" s="50"/>
      <c r="K242" s="50"/>
      <c r="L242" s="50"/>
      <c r="M242" s="52"/>
      <c r="N242" s="245"/>
      <c r="O242" s="245"/>
      <c r="P242" s="245"/>
      <c r="Q242" s="245"/>
      <c r="R242" s="245"/>
      <c r="S242" s="245"/>
      <c r="T242" s="245"/>
      <c r="U242" s="245"/>
      <c r="V242" s="245"/>
      <c r="W242" s="245"/>
      <c r="X242" s="245"/>
      <c r="Y242" s="245"/>
      <c r="Z242" s="245"/>
      <c r="AA242" s="245"/>
      <c r="AB242" s="245"/>
      <c r="AC242" s="245"/>
      <c r="AD242" s="245"/>
      <c r="AE242" s="245"/>
      <c r="AF242" s="245"/>
      <c r="AG242" s="245"/>
      <c r="AH242" s="245"/>
      <c r="AI242" s="245"/>
      <c r="AJ242" s="245"/>
      <c r="AK242" s="245"/>
      <c r="AL242" s="245"/>
      <c r="AM242" s="245"/>
      <c r="AN242" s="28" t="s">
        <v>456</v>
      </c>
    </row>
    <row r="243" spans="1:40" ht="39.6">
      <c r="A243" s="57" t="s">
        <v>233</v>
      </c>
      <c r="B243" s="58" t="s">
        <v>328</v>
      </c>
      <c r="C243" s="58" t="s">
        <v>457</v>
      </c>
      <c r="D243" s="59">
        <v>8</v>
      </c>
      <c r="E243" s="60" t="s">
        <v>326</v>
      </c>
      <c r="F243" s="61" t="s">
        <v>218</v>
      </c>
      <c r="G243" s="61" t="s">
        <v>346</v>
      </c>
      <c r="H243" s="62" t="s">
        <v>346</v>
      </c>
      <c r="I243" s="63" t="s">
        <v>370</v>
      </c>
      <c r="J243" s="50"/>
      <c r="K243" s="50"/>
      <c r="L243" s="50"/>
      <c r="M243" s="52"/>
      <c r="N243" s="245"/>
      <c r="O243" s="245"/>
      <c r="P243" s="245"/>
      <c r="Q243" s="245"/>
      <c r="R243" s="245"/>
      <c r="S243" s="245"/>
      <c r="T243" s="245"/>
      <c r="U243" s="245"/>
      <c r="V243" s="245"/>
      <c r="W243" s="245"/>
      <c r="X243" s="245"/>
      <c r="Y243" s="245"/>
      <c r="Z243" s="245"/>
      <c r="AA243" s="245"/>
      <c r="AB243" s="245"/>
      <c r="AC243" s="245"/>
      <c r="AD243" s="245"/>
      <c r="AE243" s="245"/>
      <c r="AF243" s="245"/>
      <c r="AG243" s="245"/>
      <c r="AH243" s="245"/>
      <c r="AI243" s="245"/>
      <c r="AJ243" s="245"/>
      <c r="AK243" s="245"/>
      <c r="AL243" s="245"/>
      <c r="AM243" s="245"/>
      <c r="AN243" s="28" t="s">
        <v>458</v>
      </c>
    </row>
    <row r="244" spans="1:40" ht="26.4">
      <c r="A244" s="57" t="s">
        <v>234</v>
      </c>
      <c r="B244" s="58" t="s">
        <v>328</v>
      </c>
      <c r="C244" s="58" t="s">
        <v>215</v>
      </c>
      <c r="D244" s="59">
        <v>6</v>
      </c>
      <c r="E244" s="60" t="s">
        <v>326</v>
      </c>
      <c r="F244" s="61" t="s">
        <v>218</v>
      </c>
      <c r="G244" s="61" t="s">
        <v>346</v>
      </c>
      <c r="H244" s="62" t="s">
        <v>346</v>
      </c>
      <c r="I244" s="63" t="s">
        <v>370</v>
      </c>
      <c r="J244" s="50"/>
      <c r="K244" s="50"/>
      <c r="L244" s="50"/>
      <c r="M244" s="52"/>
      <c r="N244" s="245"/>
      <c r="O244" s="245"/>
      <c r="P244" s="245"/>
      <c r="Q244" s="245"/>
      <c r="R244" s="245"/>
      <c r="S244" s="245"/>
      <c r="T244" s="245"/>
      <c r="U244" s="245"/>
      <c r="V244" s="245"/>
      <c r="W244" s="245"/>
      <c r="X244" s="245"/>
      <c r="Y244" s="245"/>
      <c r="Z244" s="245"/>
      <c r="AA244" s="245"/>
      <c r="AB244" s="245"/>
      <c r="AC244" s="245"/>
      <c r="AD244" s="245"/>
      <c r="AE244" s="245"/>
      <c r="AF244" s="245"/>
      <c r="AG244" s="245"/>
      <c r="AH244" s="245"/>
      <c r="AI244" s="245"/>
      <c r="AJ244" s="245"/>
      <c r="AK244" s="245"/>
      <c r="AL244" s="245"/>
      <c r="AM244" s="245"/>
      <c r="AN244" s="28" t="s">
        <v>443</v>
      </c>
    </row>
    <row r="245" spans="1:40" ht="26.4">
      <c r="A245" s="57" t="s">
        <v>234</v>
      </c>
      <c r="B245" s="58" t="s">
        <v>328</v>
      </c>
      <c r="C245" s="58" t="s">
        <v>216</v>
      </c>
      <c r="D245" s="59">
        <v>2</v>
      </c>
      <c r="E245" s="60" t="s">
        <v>326</v>
      </c>
      <c r="F245" s="61" t="s">
        <v>221</v>
      </c>
      <c r="G245" s="61">
        <v>2015</v>
      </c>
      <c r="H245" s="62" t="s">
        <v>346</v>
      </c>
      <c r="I245" s="63" t="s">
        <v>370</v>
      </c>
      <c r="J245" s="50"/>
      <c r="K245" s="50"/>
      <c r="L245" s="50"/>
      <c r="M245" s="52"/>
      <c r="N245" s="245"/>
      <c r="O245" s="245"/>
      <c r="P245" s="245"/>
      <c r="Q245" s="245"/>
      <c r="R245" s="245"/>
      <c r="S245" s="245"/>
      <c r="T245" s="245"/>
      <c r="U245" s="245"/>
      <c r="V245" s="245"/>
      <c r="W245" s="245"/>
      <c r="X245" s="245"/>
      <c r="Y245" s="245"/>
      <c r="Z245" s="245"/>
      <c r="AA245" s="245"/>
      <c r="AB245" s="245"/>
      <c r="AC245" s="245"/>
      <c r="AD245" s="245"/>
      <c r="AE245" s="245"/>
      <c r="AF245" s="245"/>
      <c r="AG245" s="245"/>
      <c r="AH245" s="245"/>
      <c r="AI245" s="245"/>
      <c r="AJ245" s="245"/>
      <c r="AK245" s="245"/>
      <c r="AL245" s="245"/>
      <c r="AM245" s="245"/>
      <c r="AN245" s="28" t="s">
        <v>444</v>
      </c>
    </row>
    <row r="246" spans="1:40" ht="39.6">
      <c r="A246" s="57" t="s">
        <v>233</v>
      </c>
      <c r="B246" s="58" t="s">
        <v>328</v>
      </c>
      <c r="C246" s="58" t="s">
        <v>445</v>
      </c>
      <c r="D246" s="59">
        <v>17</v>
      </c>
      <c r="E246" s="60" t="s">
        <v>326</v>
      </c>
      <c r="F246" s="61" t="s">
        <v>219</v>
      </c>
      <c r="G246" s="61" t="s">
        <v>224</v>
      </c>
      <c r="H246" s="62" t="s">
        <v>346</v>
      </c>
      <c r="I246" s="63" t="s">
        <v>329</v>
      </c>
      <c r="J246" s="50"/>
      <c r="K246" s="50"/>
      <c r="L246" s="50"/>
      <c r="M246" s="52"/>
      <c r="N246" s="245"/>
      <c r="O246" s="245"/>
      <c r="P246" s="245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  <c r="AA246" s="245"/>
      <c r="AB246" s="245"/>
      <c r="AC246" s="245"/>
      <c r="AD246" s="245"/>
      <c r="AE246" s="245"/>
      <c r="AF246" s="245"/>
      <c r="AG246" s="245"/>
      <c r="AH246" s="245"/>
      <c r="AI246" s="245"/>
      <c r="AJ246" s="245"/>
      <c r="AK246" s="245"/>
      <c r="AL246" s="245"/>
      <c r="AM246" s="245"/>
      <c r="AN246" s="28" t="s">
        <v>446</v>
      </c>
    </row>
    <row r="247" spans="1:40" s="250" customFormat="1" ht="26.4">
      <c r="A247" s="57" t="s">
        <v>234</v>
      </c>
      <c r="B247" s="58" t="s">
        <v>328</v>
      </c>
      <c r="C247" s="58" t="s">
        <v>447</v>
      </c>
      <c r="D247" s="59">
        <v>7</v>
      </c>
      <c r="E247" s="60" t="s">
        <v>326</v>
      </c>
      <c r="F247" s="61" t="s">
        <v>218</v>
      </c>
      <c r="G247" s="61" t="s">
        <v>346</v>
      </c>
      <c r="H247" s="62" t="s">
        <v>346</v>
      </c>
      <c r="I247" s="63" t="s">
        <v>370</v>
      </c>
      <c r="J247" s="50"/>
      <c r="K247" s="50"/>
      <c r="L247" s="50"/>
      <c r="M247" s="52"/>
      <c r="N247" s="245"/>
      <c r="O247" s="245"/>
      <c r="P247" s="245"/>
      <c r="Q247" s="245"/>
      <c r="R247" s="245"/>
      <c r="S247" s="245"/>
      <c r="T247" s="245"/>
      <c r="U247" s="245"/>
      <c r="V247" s="245"/>
      <c r="W247" s="245"/>
      <c r="X247" s="245"/>
      <c r="Y247" s="245"/>
      <c r="Z247" s="245"/>
      <c r="AA247" s="245"/>
      <c r="AB247" s="245"/>
      <c r="AC247" s="245"/>
      <c r="AD247" s="245"/>
      <c r="AE247" s="245"/>
      <c r="AF247" s="245"/>
      <c r="AG247" s="245"/>
      <c r="AH247" s="245"/>
      <c r="AI247" s="245"/>
      <c r="AJ247" s="245"/>
      <c r="AK247" s="245"/>
      <c r="AL247" s="245"/>
      <c r="AM247" s="245"/>
      <c r="AN247" s="28" t="s">
        <v>448</v>
      </c>
    </row>
    <row r="248" spans="1:40" s="251" customFormat="1" ht="26.4">
      <c r="A248" s="57" t="s">
        <v>234</v>
      </c>
      <c r="B248" s="58" t="s">
        <v>328</v>
      </c>
      <c r="C248" s="58" t="s">
        <v>217</v>
      </c>
      <c r="D248" s="59">
        <v>7</v>
      </c>
      <c r="E248" s="60" t="s">
        <v>326</v>
      </c>
      <c r="F248" s="61" t="s">
        <v>218</v>
      </c>
      <c r="G248" s="61" t="s">
        <v>346</v>
      </c>
      <c r="H248" s="62" t="s">
        <v>346</v>
      </c>
      <c r="I248" s="63" t="s">
        <v>370</v>
      </c>
      <c r="J248" s="50"/>
      <c r="K248" s="50"/>
      <c r="L248" s="50"/>
      <c r="M248" s="52"/>
      <c r="N248" s="245"/>
      <c r="O248" s="245"/>
      <c r="P248" s="245"/>
      <c r="Q248" s="245"/>
      <c r="R248" s="245"/>
      <c r="S248" s="245"/>
      <c r="T248" s="245"/>
      <c r="U248" s="245"/>
      <c r="V248" s="245"/>
      <c r="W248" s="245"/>
      <c r="X248" s="245"/>
      <c r="Y248" s="245"/>
      <c r="Z248" s="245"/>
      <c r="AA248" s="245"/>
      <c r="AB248" s="245"/>
      <c r="AC248" s="245"/>
      <c r="AD248" s="245"/>
      <c r="AE248" s="245"/>
      <c r="AF248" s="245"/>
      <c r="AG248" s="245"/>
      <c r="AH248" s="245"/>
      <c r="AI248" s="245"/>
      <c r="AJ248" s="245"/>
      <c r="AK248" s="245"/>
      <c r="AL248" s="245"/>
      <c r="AM248" s="245"/>
      <c r="AN248" s="28" t="s">
        <v>449</v>
      </c>
    </row>
    <row r="249" spans="1:40">
      <c r="A249" s="246" t="s">
        <v>234</v>
      </c>
      <c r="B249" s="58"/>
      <c r="C249" s="58" t="s">
        <v>450</v>
      </c>
      <c r="D249" s="59">
        <v>4</v>
      </c>
      <c r="E249" s="60"/>
      <c r="F249" s="61"/>
      <c r="G249" s="61"/>
      <c r="H249" s="62"/>
      <c r="I249" s="63"/>
      <c r="J249" s="50"/>
      <c r="K249" s="50"/>
      <c r="L249" s="50"/>
      <c r="M249" s="52"/>
      <c r="N249" s="245"/>
      <c r="O249" s="245"/>
      <c r="P249" s="245"/>
      <c r="Q249" s="245"/>
      <c r="R249" s="245"/>
      <c r="S249" s="245"/>
      <c r="T249" s="245"/>
      <c r="U249" s="245"/>
      <c r="V249" s="245"/>
      <c r="W249" s="245"/>
      <c r="X249" s="245"/>
      <c r="Y249" s="245"/>
      <c r="Z249" s="245"/>
      <c r="AA249" s="245"/>
      <c r="AB249" s="245"/>
      <c r="AC249" s="245"/>
      <c r="AD249" s="245"/>
      <c r="AE249" s="245"/>
      <c r="AF249" s="245"/>
      <c r="AG249" s="245"/>
      <c r="AH249" s="245"/>
      <c r="AI249" s="245"/>
      <c r="AJ249" s="245"/>
      <c r="AK249" s="245"/>
      <c r="AL249" s="245"/>
      <c r="AM249" s="245"/>
      <c r="AN249" s="89" t="s">
        <v>459</v>
      </c>
    </row>
    <row r="250" spans="1:40">
      <c r="A250" s="246" t="s">
        <v>234</v>
      </c>
      <c r="B250" s="58"/>
      <c r="C250" s="58" t="s">
        <v>451</v>
      </c>
      <c r="D250" s="59">
        <v>6</v>
      </c>
      <c r="E250" s="60"/>
      <c r="F250" s="61"/>
      <c r="G250" s="61"/>
      <c r="H250" s="62"/>
      <c r="I250" s="63"/>
      <c r="J250" s="50"/>
      <c r="K250" s="50"/>
      <c r="L250" s="50"/>
      <c r="M250" s="52"/>
      <c r="N250" s="245"/>
      <c r="O250" s="245"/>
      <c r="P250" s="245"/>
      <c r="Q250" s="245"/>
      <c r="R250" s="245"/>
      <c r="S250" s="245"/>
      <c r="T250" s="245"/>
      <c r="U250" s="245"/>
      <c r="V250" s="245"/>
      <c r="W250" s="245"/>
      <c r="X250" s="245"/>
      <c r="Y250" s="245"/>
      <c r="Z250" s="245"/>
      <c r="AA250" s="245"/>
      <c r="AB250" s="245"/>
      <c r="AC250" s="245"/>
      <c r="AD250" s="245"/>
      <c r="AE250" s="245"/>
      <c r="AF250" s="245"/>
      <c r="AG250" s="245"/>
      <c r="AH250" s="245"/>
      <c r="AI250" s="245"/>
      <c r="AJ250" s="245"/>
      <c r="AK250" s="245"/>
      <c r="AL250" s="245"/>
      <c r="AM250" s="245"/>
      <c r="AN250" s="89" t="s">
        <v>460</v>
      </c>
    </row>
    <row r="251" spans="1:40" ht="27" thickBot="1">
      <c r="A251" s="247" t="s">
        <v>234</v>
      </c>
      <c r="B251" s="151" t="s">
        <v>328</v>
      </c>
      <c r="C251" s="151" t="s">
        <v>452</v>
      </c>
      <c r="D251" s="241">
        <v>5</v>
      </c>
      <c r="E251" s="157" t="s">
        <v>331</v>
      </c>
      <c r="F251" s="158" t="s">
        <v>225</v>
      </c>
      <c r="G251" s="158" t="s">
        <v>226</v>
      </c>
      <c r="H251" s="159" t="s">
        <v>346</v>
      </c>
      <c r="I251" s="160" t="s">
        <v>370</v>
      </c>
      <c r="J251" s="152"/>
      <c r="K251" s="152"/>
      <c r="L251" s="152"/>
      <c r="M251" s="153"/>
      <c r="N251" s="248"/>
      <c r="O251" s="248"/>
      <c r="P251" s="248"/>
      <c r="Q251" s="248"/>
      <c r="R251" s="248"/>
      <c r="S251" s="248"/>
      <c r="T251" s="248"/>
      <c r="U251" s="248"/>
      <c r="V251" s="248"/>
      <c r="W251" s="248"/>
      <c r="X251" s="248"/>
      <c r="Y251" s="248"/>
      <c r="Z251" s="248"/>
      <c r="AA251" s="248"/>
      <c r="AB251" s="248"/>
      <c r="AC251" s="248"/>
      <c r="AD251" s="248"/>
      <c r="AE251" s="248"/>
      <c r="AF251" s="248"/>
      <c r="AG251" s="248"/>
      <c r="AH251" s="248"/>
      <c r="AI251" s="248"/>
      <c r="AJ251" s="248"/>
      <c r="AK251" s="248"/>
      <c r="AL251" s="248"/>
      <c r="AM251" s="248"/>
      <c r="AN251" s="249" t="s">
        <v>461</v>
      </c>
    </row>
    <row r="252" spans="1:40">
      <c r="A252" s="73"/>
      <c r="B252" s="58"/>
      <c r="C252" s="58"/>
      <c r="D252" s="59"/>
      <c r="E252" s="60"/>
      <c r="F252" s="61"/>
      <c r="G252" s="61"/>
      <c r="H252" s="62"/>
      <c r="I252" s="63"/>
      <c r="J252" s="50"/>
      <c r="K252" s="50"/>
      <c r="L252" s="50"/>
      <c r="M252" s="5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28"/>
    </row>
    <row r="253" spans="1:40" ht="40.200000000000003" thickBot="1">
      <c r="A253" s="65" t="s">
        <v>7</v>
      </c>
      <c r="B253" s="30" t="s">
        <v>328</v>
      </c>
      <c r="C253" s="30" t="s">
        <v>8</v>
      </c>
      <c r="D253" s="66">
        <v>2</v>
      </c>
      <c r="E253" s="67" t="s">
        <v>331</v>
      </c>
      <c r="F253" s="68" t="s">
        <v>225</v>
      </c>
      <c r="G253" s="68" t="s">
        <v>226</v>
      </c>
      <c r="H253" s="69" t="s">
        <v>346</v>
      </c>
      <c r="I253" s="70" t="s">
        <v>370</v>
      </c>
      <c r="J253" s="36">
        <v>1147733</v>
      </c>
      <c r="K253" s="36">
        <f>J253-L253</f>
        <v>206591.94000000006</v>
      </c>
      <c r="L253" s="36">
        <f>SUM(N253:AM253)</f>
        <v>941141.05999999994</v>
      </c>
      <c r="M253" s="37">
        <v>2009</v>
      </c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>
        <f>0.82*J253</f>
        <v>941141.05999999994</v>
      </c>
      <c r="AM253" s="38"/>
      <c r="AN253" s="71" t="s">
        <v>491</v>
      </c>
    </row>
  </sheetData>
  <autoFilter ref="M1:M253" xr:uid="{00000000-0009-0000-0000-000000000000}"/>
  <mergeCells count="4">
    <mergeCell ref="N2:AM2"/>
    <mergeCell ref="A2:D2"/>
    <mergeCell ref="E2:G2"/>
    <mergeCell ref="J2:M2"/>
  </mergeCells>
  <phoneticPr fontId="8" type="noConversion"/>
  <pageMargins left="0.77" right="0.78740157480314965" top="1.1023622047244095" bottom="0.74" header="0.51181102362204722" footer="0.34"/>
  <pageSetup paperSize="9" scale="58" fitToHeight="9999" orientation="landscape" r:id="rId1"/>
  <headerFooter alignWithMargins="0">
    <oddHeader>&amp;L&amp;G</oddHeader>
    <oddFooter>&amp;L&amp;8Bundesamt für Verkehr
Abteilung Finanzierung
Fachstelle Mobilitätsfragen
3003 Bern</oddFooter>
  </headerFooter>
  <ignoredErrors>
    <ignoredError sqref="K26:L26 Q31" formula="1"/>
    <ignoredError sqref="J132 J136 J134:J135" formulaRange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workbookViewId="0">
      <selection activeCell="A4" sqref="A4"/>
    </sheetView>
  </sheetViews>
  <sheetFormatPr baseColWidth="10" defaultColWidth="11.44140625" defaultRowHeight="13.2"/>
  <cols>
    <col min="1" max="1" width="11.44140625" style="64"/>
    <col min="2" max="2" width="125.5546875" style="130" customWidth="1"/>
    <col min="3" max="16384" width="11.44140625" style="130"/>
  </cols>
  <sheetData>
    <row r="1" spans="1:2">
      <c r="A1" s="129" t="s">
        <v>187</v>
      </c>
    </row>
    <row r="2" spans="1:2" ht="13.8" thickBot="1"/>
    <row r="3" spans="1:2" ht="27" thickBot="1">
      <c r="A3" s="131"/>
      <c r="B3" s="146" t="s">
        <v>188</v>
      </c>
    </row>
    <row r="5" spans="1:2">
      <c r="A5" s="147" t="s">
        <v>189</v>
      </c>
      <c r="B5" s="148" t="s">
        <v>190</v>
      </c>
    </row>
    <row r="6" spans="1:2">
      <c r="A6" s="132">
        <v>5</v>
      </c>
      <c r="B6" s="133" t="s">
        <v>398</v>
      </c>
    </row>
    <row r="7" spans="1:2">
      <c r="A7" s="132" t="s">
        <v>400</v>
      </c>
      <c r="B7" s="133" t="s">
        <v>399</v>
      </c>
    </row>
    <row r="8" spans="1:2">
      <c r="A8" s="132" t="s">
        <v>401</v>
      </c>
      <c r="B8" s="133" t="s">
        <v>404</v>
      </c>
    </row>
    <row r="10" spans="1:2">
      <c r="A10" s="147" t="s">
        <v>191</v>
      </c>
      <c r="B10" s="148" t="s">
        <v>190</v>
      </c>
    </row>
    <row r="11" spans="1:2">
      <c r="A11" s="132" t="s">
        <v>192</v>
      </c>
      <c r="B11" s="133" t="s">
        <v>193</v>
      </c>
    </row>
    <row r="12" spans="1:2" ht="26.4">
      <c r="A12" s="132" t="s">
        <v>194</v>
      </c>
      <c r="B12" s="133" t="s">
        <v>195</v>
      </c>
    </row>
    <row r="13" spans="1:2">
      <c r="A13" s="132" t="s">
        <v>196</v>
      </c>
      <c r="B13" s="133" t="s">
        <v>197</v>
      </c>
    </row>
    <row r="14" spans="1:2">
      <c r="A14" s="132" t="s">
        <v>198</v>
      </c>
      <c r="B14" s="133" t="s">
        <v>199</v>
      </c>
    </row>
    <row r="15" spans="1:2">
      <c r="A15" s="132" t="s">
        <v>200</v>
      </c>
      <c r="B15" s="133" t="s">
        <v>201</v>
      </c>
    </row>
    <row r="16" spans="1:2">
      <c r="A16" s="132" t="s">
        <v>202</v>
      </c>
      <c r="B16" s="133" t="s">
        <v>203</v>
      </c>
    </row>
    <row r="17" spans="1:2" ht="26.4">
      <c r="A17" s="132" t="s">
        <v>204</v>
      </c>
      <c r="B17" s="133" t="s">
        <v>179</v>
      </c>
    </row>
    <row r="18" spans="1:2">
      <c r="A18" s="132" t="s">
        <v>205</v>
      </c>
      <c r="B18" s="133" t="s">
        <v>235</v>
      </c>
    </row>
    <row r="19" spans="1:2">
      <c r="A19" s="132" t="s">
        <v>236</v>
      </c>
      <c r="B19" s="133" t="s">
        <v>237</v>
      </c>
    </row>
    <row r="20" spans="1:2" ht="26.4">
      <c r="A20" s="132" t="s">
        <v>253</v>
      </c>
      <c r="B20" s="133" t="s">
        <v>258</v>
      </c>
    </row>
    <row r="21" spans="1:2">
      <c r="A21" s="132" t="s">
        <v>254</v>
      </c>
      <c r="B21" s="133" t="s">
        <v>238</v>
      </c>
    </row>
    <row r="22" spans="1:2" ht="39.6">
      <c r="A22" s="132" t="s">
        <v>255</v>
      </c>
      <c r="B22" s="134" t="s">
        <v>259</v>
      </c>
    </row>
    <row r="23" spans="1:2" ht="26.4">
      <c r="A23" s="132" t="s">
        <v>256</v>
      </c>
      <c r="B23" s="133" t="s">
        <v>262</v>
      </c>
    </row>
    <row r="24" spans="1:2">
      <c r="A24" s="132" t="s">
        <v>207</v>
      </c>
      <c r="B24" s="133" t="s">
        <v>239</v>
      </c>
    </row>
    <row r="25" spans="1:2" ht="26.4">
      <c r="A25" s="290" t="s">
        <v>397</v>
      </c>
      <c r="B25" s="135" t="s">
        <v>240</v>
      </c>
    </row>
    <row r="26" spans="1:2">
      <c r="A26" s="291"/>
      <c r="B26" s="136" t="s">
        <v>241</v>
      </c>
    </row>
    <row r="27" spans="1:2">
      <c r="A27" s="291"/>
      <c r="B27" s="136" t="s">
        <v>242</v>
      </c>
    </row>
    <row r="28" spans="1:2">
      <c r="A28" s="291"/>
      <c r="B28" s="136" t="s">
        <v>243</v>
      </c>
    </row>
    <row r="29" spans="1:2" ht="26.4">
      <c r="A29" s="292"/>
      <c r="B29" s="137" t="s">
        <v>244</v>
      </c>
    </row>
    <row r="30" spans="1:2">
      <c r="A30" s="138"/>
    </row>
    <row r="31" spans="1:2">
      <c r="A31" s="138"/>
    </row>
    <row r="32" spans="1:2">
      <c r="A32" s="138"/>
    </row>
    <row r="33" spans="1:1">
      <c r="A33" s="138"/>
    </row>
  </sheetData>
  <sheetProtection password="DC65" sheet="1" objects="1" scenarios="1" selectLockedCells="1" selectUnlockedCells="1"/>
  <mergeCells count="1">
    <mergeCell ref="A25:A29"/>
  </mergeCells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3"/>
  <sheetViews>
    <sheetView workbookViewId="0">
      <selection activeCell="A4" sqref="A4"/>
    </sheetView>
  </sheetViews>
  <sheetFormatPr baseColWidth="10" defaultRowHeight="13.2"/>
  <cols>
    <col min="1" max="1" width="11.44140625" style="131" customWidth="1"/>
    <col min="2" max="2" width="124.6640625" style="138" customWidth="1"/>
  </cols>
  <sheetData>
    <row r="1" spans="1:2">
      <c r="A1" s="129" t="s">
        <v>245</v>
      </c>
    </row>
    <row r="2" spans="1:2" ht="13.8" thickBot="1"/>
    <row r="3" spans="1:2" ht="13.8" thickBot="1">
      <c r="B3" s="146" t="s">
        <v>246</v>
      </c>
    </row>
    <row r="5" spans="1:2">
      <c r="A5" s="149" t="s">
        <v>247</v>
      </c>
      <c r="B5" s="150" t="s">
        <v>248</v>
      </c>
    </row>
    <row r="6" spans="1:2">
      <c r="A6" s="139">
        <v>5</v>
      </c>
      <c r="B6" s="140" t="s">
        <v>402</v>
      </c>
    </row>
    <row r="7" spans="1:2">
      <c r="A7" s="139" t="s">
        <v>400</v>
      </c>
      <c r="B7" s="140" t="s">
        <v>403</v>
      </c>
    </row>
    <row r="8" spans="1:2">
      <c r="A8" s="139" t="s">
        <v>401</v>
      </c>
      <c r="B8" s="140" t="s">
        <v>405</v>
      </c>
    </row>
    <row r="10" spans="1:2">
      <c r="A10" s="149" t="s">
        <v>249</v>
      </c>
      <c r="B10" s="150" t="s">
        <v>248</v>
      </c>
    </row>
    <row r="11" spans="1:2">
      <c r="A11" s="139" t="s">
        <v>192</v>
      </c>
      <c r="B11" s="140" t="s">
        <v>250</v>
      </c>
    </row>
    <row r="12" spans="1:2" ht="39.6">
      <c r="A12" s="139" t="s">
        <v>194</v>
      </c>
      <c r="B12" s="140" t="s">
        <v>252</v>
      </c>
    </row>
    <row r="13" spans="1:2">
      <c r="A13" s="139" t="s">
        <v>196</v>
      </c>
      <c r="B13" s="140" t="s">
        <v>263</v>
      </c>
    </row>
    <row r="14" spans="1:2">
      <c r="A14" s="139" t="s">
        <v>198</v>
      </c>
      <c r="B14" s="140" t="s">
        <v>264</v>
      </c>
    </row>
    <row r="15" spans="1:2">
      <c r="A15" s="139" t="s">
        <v>200</v>
      </c>
      <c r="B15" s="140" t="s">
        <v>265</v>
      </c>
    </row>
    <row r="16" spans="1:2">
      <c r="A16" s="139" t="s">
        <v>202</v>
      </c>
      <c r="B16" s="140" t="s">
        <v>266</v>
      </c>
    </row>
    <row r="17" spans="1:2">
      <c r="A17" s="139" t="s">
        <v>204</v>
      </c>
      <c r="B17" s="140" t="s">
        <v>267</v>
      </c>
    </row>
    <row r="18" spans="1:2">
      <c r="A18" s="139" t="s">
        <v>205</v>
      </c>
      <c r="B18" s="140" t="s">
        <v>268</v>
      </c>
    </row>
    <row r="19" spans="1:2">
      <c r="A19" s="139" t="s">
        <v>236</v>
      </c>
      <c r="B19" s="140" t="s">
        <v>269</v>
      </c>
    </row>
    <row r="20" spans="1:2" ht="26.4">
      <c r="A20" s="139" t="s">
        <v>253</v>
      </c>
      <c r="B20" s="140" t="s">
        <v>257</v>
      </c>
    </row>
    <row r="21" spans="1:2">
      <c r="A21" s="139" t="s">
        <v>254</v>
      </c>
      <c r="B21" s="140" t="s">
        <v>270</v>
      </c>
    </row>
    <row r="22" spans="1:2" ht="39.6">
      <c r="A22" s="139" t="s">
        <v>255</v>
      </c>
      <c r="B22" s="141" t="s">
        <v>260</v>
      </c>
    </row>
    <row r="23" spans="1:2" ht="26.4">
      <c r="A23" s="132" t="s">
        <v>256</v>
      </c>
      <c r="B23" s="140" t="s">
        <v>261</v>
      </c>
    </row>
    <row r="24" spans="1:2">
      <c r="A24" s="132" t="s">
        <v>206</v>
      </c>
      <c r="B24" s="140" t="s">
        <v>271</v>
      </c>
    </row>
    <row r="25" spans="1:2" ht="26.4">
      <c r="A25" s="290" t="s">
        <v>397</v>
      </c>
      <c r="B25" s="142" t="s">
        <v>272</v>
      </c>
    </row>
    <row r="26" spans="1:2">
      <c r="A26" s="291"/>
      <c r="B26" s="143" t="s">
        <v>273</v>
      </c>
    </row>
    <row r="27" spans="1:2">
      <c r="A27" s="291"/>
      <c r="B27" s="143" t="s">
        <v>274</v>
      </c>
    </row>
    <row r="28" spans="1:2">
      <c r="A28" s="291"/>
      <c r="B28" s="143" t="s">
        <v>275</v>
      </c>
    </row>
    <row r="29" spans="1:2" ht="26.4">
      <c r="A29" s="292"/>
      <c r="B29" s="144" t="s">
        <v>276</v>
      </c>
    </row>
    <row r="30" spans="1:2">
      <c r="A30" s="145"/>
    </row>
    <row r="31" spans="1:2">
      <c r="A31" s="145"/>
    </row>
    <row r="32" spans="1:2">
      <c r="A32" s="145"/>
    </row>
    <row r="33" spans="1:1">
      <c r="A33" s="145"/>
    </row>
  </sheetData>
  <sheetProtection password="DC65" sheet="1" objects="1" scenarios="1" selectLockedCells="1" selectUnlockedCells="1"/>
  <mergeCells count="1">
    <mergeCell ref="A25:A29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Fahrzeuge</vt:lpstr>
      <vt:lpstr>Legende deutsch</vt:lpstr>
      <vt:lpstr>Légende en français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Oprecht Hanspeter</dc:creator>
  <cp:lastModifiedBy>Oprecht Hanspeter BAV</cp:lastModifiedBy>
  <cp:lastPrinted>2011-07-05T13:10:23Z</cp:lastPrinted>
  <dcterms:created xsi:type="dcterms:W3CDTF">2005-06-10T09:28:51Z</dcterms:created>
  <dcterms:modified xsi:type="dcterms:W3CDTF">2022-12-15T11:58:35Z</dcterms:modified>
</cp:coreProperties>
</file>